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0" fillId="0" borderId="0" pivotButton="0" quotePrefix="0" xfId="0"/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251" activePane="bottomRight" state="frozen"/>
      <selection pane="topLeft" activeCell="A1" activeCellId="0" sqref="A1"/>
      <selection pane="topRight" activeCell="B1" activeCellId="0" sqref="B1"/>
      <selection pane="bottomLeft" activeCell="A251" activeCellId="0" sqref="A251"/>
      <selection pane="bottomRight" activeCell="F283" activeCellId="0" sqref="F283"/>
    </sheetView>
  </sheetViews>
  <sheetFormatPr baseColWidth="8" defaultColWidth="8.71875" defaultRowHeight="1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Format="1" customHeight="1" s="380">
      <c r="A1" s="381" t="inlineStr">
        <is>
          <t>Six Peak Capital - Financial Projections</t>
        </is>
      </c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  <c r="CI1" s="382" t="n"/>
      <c r="CJ1" s="382" t="n"/>
      <c r="CK1" s="382" t="n"/>
      <c r="CL1" s="382" t="n"/>
      <c r="CM1" s="382" t="n"/>
      <c r="CN1" s="382" t="n"/>
      <c r="CO1" s="382" t="n"/>
      <c r="CP1" s="382" t="n"/>
      <c r="CQ1" s="382" t="n"/>
      <c r="CR1" s="382" t="n"/>
      <c r="CS1" s="382" t="n"/>
      <c r="CT1" s="382" t="n"/>
      <c r="CU1" s="382" t="n"/>
      <c r="CV1" s="382" t="n"/>
      <c r="CW1" s="382" t="n"/>
      <c r="CX1" s="382" t="n"/>
      <c r="CY1" s="382" t="n"/>
      <c r="CZ1" s="382" t="n"/>
      <c r="DA1" s="382" t="n"/>
      <c r="DB1" s="382" t="n"/>
      <c r="DC1" s="382" t="n"/>
      <c r="DD1" s="382" t="n"/>
      <c r="DE1" s="382" t="n"/>
    </row>
    <row r="2" ht="15" customFormat="1" customHeight="1" s="380">
      <c r="A2" s="383" t="n"/>
      <c r="B2" s="384" t="n">
        <v>46023</v>
      </c>
      <c r="C2" s="384" t="n">
        <v>46054</v>
      </c>
      <c r="D2" s="384" t="n">
        <v>46082</v>
      </c>
      <c r="E2" s="384" t="n">
        <v>46113</v>
      </c>
      <c r="F2" s="384" t="n">
        <v>46143</v>
      </c>
      <c r="G2" s="384" t="n">
        <v>46174</v>
      </c>
      <c r="H2" s="384" t="n">
        <v>46204</v>
      </c>
      <c r="I2" s="384" t="n">
        <v>46235</v>
      </c>
      <c r="J2" s="384" t="n">
        <v>46266</v>
      </c>
      <c r="K2" s="384" t="n">
        <v>46296</v>
      </c>
      <c r="L2" s="384" t="n">
        <v>46327</v>
      </c>
      <c r="M2" s="384" t="n">
        <v>46357</v>
      </c>
      <c r="N2" s="384" t="n">
        <v>46388</v>
      </c>
      <c r="O2" s="384" t="n">
        <v>46419</v>
      </c>
      <c r="P2" s="384" t="n">
        <v>46447</v>
      </c>
      <c r="Q2" s="384" t="n">
        <v>46478</v>
      </c>
      <c r="R2" s="384" t="n">
        <v>46508</v>
      </c>
      <c r="S2" s="384" t="n">
        <v>46539</v>
      </c>
      <c r="T2" s="384" t="n">
        <v>46569</v>
      </c>
      <c r="U2" s="384" t="n">
        <v>46600</v>
      </c>
      <c r="V2" s="384" t="n">
        <v>46631</v>
      </c>
      <c r="W2" s="384" t="n">
        <v>46661</v>
      </c>
      <c r="X2" s="384" t="n">
        <v>46692</v>
      </c>
      <c r="Y2" s="384" t="n">
        <v>46722</v>
      </c>
      <c r="Z2" s="384" t="n">
        <v>46753</v>
      </c>
      <c r="AA2" s="384" t="n">
        <v>46784</v>
      </c>
      <c r="AB2" s="384" t="n">
        <v>46813</v>
      </c>
      <c r="AC2" s="384" t="n">
        <v>46844</v>
      </c>
      <c r="AD2" s="384" t="n">
        <v>46874</v>
      </c>
      <c r="AE2" s="384" t="n">
        <v>46905</v>
      </c>
      <c r="AF2" s="384" t="n">
        <v>46935</v>
      </c>
      <c r="AG2" s="384" t="n">
        <v>46966</v>
      </c>
      <c r="AH2" s="384" t="n">
        <v>46997</v>
      </c>
      <c r="AI2" s="384" t="n">
        <v>47027</v>
      </c>
      <c r="AJ2" s="384" t="n">
        <v>47058</v>
      </c>
      <c r="AK2" s="384" t="n">
        <v>47088</v>
      </c>
      <c r="AL2" s="384" t="n">
        <v>47119</v>
      </c>
      <c r="AM2" s="384" t="n">
        <v>47150</v>
      </c>
      <c r="AN2" s="384" t="n">
        <v>47178</v>
      </c>
      <c r="AO2" s="384" t="n">
        <v>47209</v>
      </c>
      <c r="AP2" s="384" t="n">
        <v>47239</v>
      </c>
      <c r="AQ2" s="384" t="n">
        <v>47270</v>
      </c>
      <c r="AR2" s="384" t="n">
        <v>47300</v>
      </c>
      <c r="AS2" s="384" t="n">
        <v>47331</v>
      </c>
      <c r="AT2" s="384" t="n">
        <v>47362</v>
      </c>
      <c r="AU2" s="384" t="n">
        <v>47392</v>
      </c>
      <c r="AV2" s="384" t="n">
        <v>47423</v>
      </c>
      <c r="AW2" s="384" t="n">
        <v>47453</v>
      </c>
      <c r="AX2" s="384" t="n">
        <v>47484</v>
      </c>
      <c r="AY2" s="384" t="n">
        <v>47515</v>
      </c>
      <c r="AZ2" s="384" t="n">
        <v>47543</v>
      </c>
      <c r="BA2" s="384" t="n">
        <v>47574</v>
      </c>
      <c r="BB2" s="384" t="n">
        <v>47604</v>
      </c>
      <c r="BC2" s="384" t="n">
        <v>47635</v>
      </c>
      <c r="BD2" s="384" t="n">
        <v>47665</v>
      </c>
      <c r="BE2" s="384" t="n">
        <v>47696</v>
      </c>
      <c r="BF2" s="384" t="n">
        <v>47727</v>
      </c>
      <c r="BG2" s="384" t="n">
        <v>47757</v>
      </c>
      <c r="BH2" s="384" t="n">
        <v>47788</v>
      </c>
      <c r="BI2" s="384" t="n">
        <v>47818</v>
      </c>
      <c r="BJ2" s="384" t="n">
        <v>47849</v>
      </c>
      <c r="BK2" s="384" t="n">
        <v>47880</v>
      </c>
      <c r="BL2" s="384" t="n">
        <v>47908</v>
      </c>
      <c r="BM2" s="384" t="n">
        <v>47939</v>
      </c>
      <c r="BN2" s="384" t="n">
        <v>47969</v>
      </c>
      <c r="BO2" s="384" t="n">
        <v>48000</v>
      </c>
      <c r="BP2" s="384" t="n">
        <v>48030</v>
      </c>
      <c r="BQ2" s="384" t="n">
        <v>48061</v>
      </c>
      <c r="BR2" s="384" t="n">
        <v>48092</v>
      </c>
      <c r="BS2" s="384" t="n">
        <v>48122</v>
      </c>
      <c r="BT2" s="384" t="n">
        <v>48153</v>
      </c>
      <c r="BU2" s="384" t="n">
        <v>48183</v>
      </c>
      <c r="BV2" s="384" t="n">
        <v>48214</v>
      </c>
      <c r="BW2" s="384" t="n">
        <v>48245</v>
      </c>
      <c r="BX2" s="384" t="n">
        <v>48274</v>
      </c>
      <c r="BY2" s="384" t="n">
        <v>48305</v>
      </c>
      <c r="BZ2" s="384" t="n">
        <v>48335</v>
      </c>
      <c r="CA2" s="384" t="n">
        <v>48366</v>
      </c>
      <c r="CB2" s="384" t="n">
        <v>48396</v>
      </c>
      <c r="CC2" s="384" t="n">
        <v>48427</v>
      </c>
      <c r="CD2" s="384" t="n">
        <v>48458</v>
      </c>
      <c r="CE2" s="384" t="n">
        <v>48488</v>
      </c>
      <c r="CF2" s="384" t="n">
        <v>48519</v>
      </c>
      <c r="CG2" s="384" t="n">
        <v>48549</v>
      </c>
      <c r="CH2" s="384" t="n">
        <v>48580</v>
      </c>
      <c r="CI2" s="384" t="n">
        <v>48611</v>
      </c>
      <c r="CJ2" s="384" t="n">
        <v>48639</v>
      </c>
      <c r="CK2" s="384" t="n">
        <v>48670</v>
      </c>
      <c r="CL2" s="384" t="n">
        <v>48700</v>
      </c>
      <c r="CM2" s="384" t="n">
        <v>48731</v>
      </c>
      <c r="CN2" s="384" t="n">
        <v>48761</v>
      </c>
      <c r="CO2" s="384" t="n">
        <v>48792</v>
      </c>
      <c r="CP2" s="384" t="n">
        <v>48823</v>
      </c>
      <c r="CQ2" s="384" t="n">
        <v>48853</v>
      </c>
      <c r="CR2" s="384" t="n">
        <v>48884</v>
      </c>
      <c r="CS2" s="384" t="n">
        <v>48914</v>
      </c>
      <c r="CT2" s="384" t="n">
        <v>48945</v>
      </c>
      <c r="CU2" s="384" t="n">
        <v>48976</v>
      </c>
      <c r="CV2" s="384" t="n">
        <v>49004</v>
      </c>
      <c r="CW2" s="384" t="n">
        <v>49035</v>
      </c>
      <c r="CX2" s="384" t="n">
        <v>49065</v>
      </c>
      <c r="CY2" s="384" t="n">
        <v>49096</v>
      </c>
      <c r="CZ2" s="384" t="n">
        <v>49126</v>
      </c>
      <c r="DA2" s="384" t="n">
        <v>49157</v>
      </c>
      <c r="DB2" s="384" t="n">
        <v>49188</v>
      </c>
      <c r="DC2" s="384" t="n">
        <v>49218</v>
      </c>
      <c r="DD2" s="384" t="n">
        <v>49249</v>
      </c>
      <c r="DE2" s="384" t="n">
        <v>49279</v>
      </c>
    </row>
    <row r="3" ht="15" customFormat="1" customHeight="1" s="385">
      <c r="A3" s="386" t="inlineStr">
        <is>
          <t>Month #</t>
        </is>
      </c>
      <c r="B3" s="387" t="n">
        <v>-2</v>
      </c>
      <c r="C3" s="387" t="n">
        <v>-1</v>
      </c>
      <c r="D3" s="387" t="n">
        <v>0</v>
      </c>
      <c r="E3" s="387" t="n">
        <v>1</v>
      </c>
      <c r="F3" s="387" t="n">
        <v>2</v>
      </c>
      <c r="G3" s="387" t="n">
        <v>3</v>
      </c>
      <c r="H3" s="387" t="n">
        <v>4</v>
      </c>
      <c r="I3" s="387" t="n">
        <v>5</v>
      </c>
      <c r="J3" s="387" t="n">
        <v>6</v>
      </c>
      <c r="K3" s="387" t="n">
        <v>7</v>
      </c>
      <c r="L3" s="387" t="n">
        <v>8</v>
      </c>
      <c r="M3" s="387" t="n">
        <v>9</v>
      </c>
      <c r="N3" s="387" t="n">
        <v>10</v>
      </c>
      <c r="O3" s="387" t="n">
        <v>11</v>
      </c>
      <c r="P3" s="387" t="n">
        <v>12</v>
      </c>
      <c r="Q3" s="387" t="n">
        <v>13</v>
      </c>
      <c r="R3" s="387" t="n">
        <v>14</v>
      </c>
      <c r="S3" s="387" t="n">
        <v>15</v>
      </c>
      <c r="T3" s="387" t="n">
        <v>16</v>
      </c>
      <c r="U3" s="387" t="n">
        <v>17</v>
      </c>
      <c r="V3" s="387" t="n">
        <v>18</v>
      </c>
      <c r="W3" s="387" t="n">
        <v>19</v>
      </c>
      <c r="X3" s="387" t="n">
        <v>20</v>
      </c>
      <c r="Y3" s="387" t="n">
        <v>21</v>
      </c>
      <c r="Z3" s="387" t="n">
        <v>22</v>
      </c>
      <c r="AA3" s="387" t="n">
        <v>23</v>
      </c>
      <c r="AB3" s="387" t="n">
        <v>24</v>
      </c>
      <c r="AC3" s="387" t="n">
        <v>25</v>
      </c>
      <c r="AD3" s="387" t="n">
        <v>26</v>
      </c>
      <c r="AE3" s="387" t="n">
        <v>27</v>
      </c>
      <c r="AF3" s="387" t="n">
        <v>28</v>
      </c>
      <c r="AG3" s="387" t="n">
        <v>29</v>
      </c>
      <c r="AH3" s="387" t="n">
        <v>30</v>
      </c>
      <c r="AI3" s="387" t="n">
        <v>31</v>
      </c>
      <c r="AJ3" s="387" t="n">
        <v>32</v>
      </c>
      <c r="AK3" s="387" t="n">
        <v>33</v>
      </c>
      <c r="AL3" s="387" t="n">
        <v>34</v>
      </c>
      <c r="AM3" s="387" t="n">
        <v>35</v>
      </c>
      <c r="AN3" s="387" t="n">
        <v>36</v>
      </c>
      <c r="AO3" s="387" t="n">
        <v>37</v>
      </c>
      <c r="AP3" s="387" t="n">
        <v>38</v>
      </c>
      <c r="AQ3" s="387" t="n">
        <v>39</v>
      </c>
      <c r="AR3" s="387" t="n">
        <v>40</v>
      </c>
      <c r="AS3" s="387" t="n">
        <v>41</v>
      </c>
      <c r="AT3" s="387" t="n">
        <v>42</v>
      </c>
      <c r="AU3" s="387" t="n">
        <v>43</v>
      </c>
      <c r="AV3" s="387" t="n">
        <v>44</v>
      </c>
      <c r="AW3" s="387" t="n">
        <v>45</v>
      </c>
      <c r="AX3" s="387" t="n">
        <v>46</v>
      </c>
      <c r="AY3" s="387" t="n">
        <v>47</v>
      </c>
      <c r="AZ3" s="387" t="n">
        <v>48</v>
      </c>
      <c r="BA3" s="387" t="n">
        <v>49</v>
      </c>
      <c r="BB3" s="387" t="n">
        <v>50</v>
      </c>
      <c r="BC3" s="387" t="n">
        <v>51</v>
      </c>
      <c r="BD3" s="387" t="n">
        <v>52</v>
      </c>
      <c r="BE3" s="387" t="n">
        <v>53</v>
      </c>
      <c r="BF3" s="387" t="n">
        <v>54</v>
      </c>
      <c r="BG3" s="387" t="n">
        <v>55</v>
      </c>
      <c r="BH3" s="387" t="n">
        <v>56</v>
      </c>
      <c r="BI3" s="387" t="n">
        <v>57</v>
      </c>
      <c r="BJ3" s="387" t="n">
        <v>58</v>
      </c>
      <c r="BK3" s="387" t="n">
        <v>59</v>
      </c>
      <c r="BL3" s="387" t="n">
        <v>60</v>
      </c>
      <c r="BM3" s="387" t="n">
        <v>61</v>
      </c>
      <c r="BN3" s="387" t="n">
        <v>62</v>
      </c>
      <c r="BO3" s="387" t="n">
        <v>63</v>
      </c>
      <c r="BP3" s="387" t="n">
        <v>64</v>
      </c>
      <c r="BQ3" s="387" t="n">
        <v>65</v>
      </c>
      <c r="BR3" s="387" t="n">
        <v>66</v>
      </c>
      <c r="BS3" s="387" t="n">
        <v>67</v>
      </c>
      <c r="BT3" s="387" t="n">
        <v>68</v>
      </c>
      <c r="BU3" s="387" t="n">
        <v>69</v>
      </c>
      <c r="BV3" s="387" t="n">
        <v>70</v>
      </c>
      <c r="BW3" s="387" t="n">
        <v>71</v>
      </c>
      <c r="BX3" s="387" t="n">
        <v>72</v>
      </c>
      <c r="BY3" s="387" t="n">
        <v>73</v>
      </c>
      <c r="BZ3" s="387" t="n">
        <v>74</v>
      </c>
      <c r="CA3" s="387" t="n">
        <v>75</v>
      </c>
      <c r="CB3" s="387" t="n">
        <v>76</v>
      </c>
      <c r="CC3" s="387" t="n">
        <v>77</v>
      </c>
      <c r="CD3" s="387" t="n">
        <v>78</v>
      </c>
      <c r="CE3" s="387" t="n">
        <v>79</v>
      </c>
      <c r="CF3" s="387" t="n">
        <v>80</v>
      </c>
      <c r="CG3" s="387" t="n">
        <v>81</v>
      </c>
      <c r="CH3" s="387" t="n">
        <v>82</v>
      </c>
      <c r="CI3" s="387" t="n">
        <v>83</v>
      </c>
      <c r="CJ3" s="387" t="n">
        <v>84</v>
      </c>
      <c r="CK3" s="387" t="n">
        <v>85</v>
      </c>
      <c r="CL3" s="387" t="n">
        <v>86</v>
      </c>
      <c r="CM3" s="387" t="n">
        <v>87</v>
      </c>
      <c r="CN3" s="387" t="n">
        <v>88</v>
      </c>
      <c r="CO3" s="387" t="n">
        <v>89</v>
      </c>
      <c r="CP3" s="387" t="n">
        <v>90</v>
      </c>
      <c r="CQ3" s="387" t="n">
        <v>91</v>
      </c>
      <c r="CR3" s="387" t="n">
        <v>92</v>
      </c>
      <c r="CS3" s="387" t="n">
        <v>93</v>
      </c>
      <c r="CT3" s="387" t="n">
        <v>94</v>
      </c>
      <c r="CU3" s="387" t="n">
        <v>95</v>
      </c>
      <c r="CV3" s="387" t="n">
        <v>96</v>
      </c>
      <c r="CW3" s="387" t="n">
        <v>97</v>
      </c>
      <c r="CX3" s="387" t="n">
        <v>98</v>
      </c>
      <c r="CY3" s="387" t="n">
        <v>99</v>
      </c>
      <c r="CZ3" s="387" t="n">
        <v>100</v>
      </c>
      <c r="DA3" s="387" t="n">
        <v>101</v>
      </c>
      <c r="DB3" s="387" t="n">
        <v>102</v>
      </c>
      <c r="DC3" s="387" t="n">
        <v>103</v>
      </c>
      <c r="DD3" s="387" t="n">
        <v>104</v>
      </c>
      <c r="DE3" s="387" t="n">
        <v>105</v>
      </c>
      <c r="DF3" s="388" t="n"/>
      <c r="DG3" s="388" t="n"/>
      <c r="DH3" s="388" t="n"/>
      <c r="DI3" s="388" t="n"/>
      <c r="DJ3" s="388" t="n"/>
      <c r="DK3" s="388" t="n"/>
      <c r="DL3" s="388" t="n"/>
      <c r="DM3" s="388" t="n"/>
      <c r="DN3" s="388" t="n"/>
      <c r="DO3" s="388" t="n"/>
      <c r="DP3" s="388" t="n"/>
      <c r="DQ3" s="388" t="n"/>
      <c r="DR3" s="388" t="n"/>
      <c r="DS3" s="388" t="n"/>
      <c r="DT3" s="388" t="n"/>
      <c r="DU3" s="388" t="n"/>
      <c r="DV3" s="388" t="n"/>
      <c r="DW3" s="388" t="n"/>
      <c r="DX3" s="388" t="n"/>
      <c r="DY3" s="388" t="n"/>
      <c r="DZ3" s="388" t="n"/>
      <c r="EA3" s="388" t="n"/>
      <c r="EB3" s="388" t="n"/>
      <c r="EC3" s="388" t="n"/>
      <c r="ED3" s="388" t="n"/>
      <c r="EE3" s="388" t="n"/>
      <c r="EF3" s="388" t="n"/>
      <c r="EG3" s="388" t="n"/>
      <c r="EH3" s="388" t="n"/>
      <c r="EI3" s="388" t="n"/>
      <c r="EJ3" s="388" t="n"/>
      <c r="EK3" s="388" t="n"/>
      <c r="EL3" s="388" t="n"/>
      <c r="EM3" s="388" t="n"/>
      <c r="EN3" s="388" t="n"/>
      <c r="EO3" s="388" t="n"/>
      <c r="EP3" s="388" t="n"/>
      <c r="EQ3" s="388" t="n"/>
      <c r="ER3" s="388" t="n"/>
      <c r="ES3" s="388" t="n"/>
      <c r="ET3" s="388" t="n"/>
      <c r="EU3" s="388" t="n"/>
      <c r="EV3" s="388" t="n"/>
      <c r="EW3" s="388" t="n"/>
      <c r="EX3" s="388" t="n"/>
      <c r="EY3" s="388" t="n"/>
      <c r="EZ3" s="388" t="n"/>
      <c r="FA3" s="388" t="n"/>
      <c r="FB3" s="388" t="n"/>
      <c r="FC3" s="388" t="n"/>
      <c r="FD3" s="388" t="n"/>
      <c r="FE3" s="388" t="n"/>
      <c r="FF3" s="388" t="n"/>
      <c r="FG3" s="388" t="n"/>
      <c r="FH3" s="388" t="n"/>
      <c r="FI3" s="388" t="n"/>
      <c r="FJ3" s="388" t="n"/>
      <c r="FK3" s="388" t="n"/>
      <c r="FL3" s="388" t="n"/>
      <c r="FM3" s="388" t="n"/>
      <c r="FN3" s="388" t="n"/>
      <c r="FO3" s="388" t="n"/>
      <c r="FP3" s="388" t="n"/>
      <c r="FQ3" s="388" t="n"/>
      <c r="FR3" s="388" t="n"/>
      <c r="FS3" s="388" t="n"/>
      <c r="FT3" s="388" t="n"/>
      <c r="FU3" s="388" t="n"/>
      <c r="FV3" s="388" t="n"/>
      <c r="FW3" s="388" t="n"/>
      <c r="FX3" s="388" t="n"/>
      <c r="FY3" s="388" t="n"/>
      <c r="FZ3" s="388" t="n"/>
      <c r="GA3" s="388" t="n"/>
      <c r="GB3" s="388" t="n"/>
      <c r="GC3" s="388" t="n"/>
      <c r="GD3" s="388" t="n"/>
      <c r="GE3" s="388" t="n"/>
      <c r="GF3" s="388" t="n"/>
      <c r="GG3" s="388" t="n"/>
      <c r="GH3" s="388" t="n"/>
      <c r="GI3" s="388" t="n"/>
      <c r="GJ3" s="388" t="n"/>
      <c r="GK3" s="388" t="n"/>
      <c r="GL3" s="388" t="n"/>
      <c r="GM3" s="388" t="n"/>
      <c r="GN3" s="388" t="n"/>
      <c r="GO3" s="388" t="n"/>
      <c r="GP3" s="388" t="n"/>
      <c r="GQ3" s="388" t="n"/>
      <c r="GR3" s="388" t="n"/>
      <c r="GS3" s="388" t="n"/>
      <c r="GT3" s="388" t="n"/>
      <c r="GU3" s="388" t="n"/>
      <c r="GV3" s="388" t="n"/>
      <c r="GW3" s="388" t="n"/>
      <c r="GX3" s="388" t="n"/>
      <c r="GY3" s="388" t="n"/>
      <c r="GZ3" s="388" t="n"/>
      <c r="HA3" s="388" t="n"/>
      <c r="HB3" s="388" t="n"/>
      <c r="HC3" s="388" t="n"/>
      <c r="HD3" s="388" t="n"/>
      <c r="HE3" s="388" t="n"/>
      <c r="HF3" s="388" t="n"/>
      <c r="HG3" s="388" t="n"/>
      <c r="HH3" s="388" t="n"/>
      <c r="HI3" s="388" t="n"/>
      <c r="HJ3" s="388" t="n"/>
      <c r="HK3" s="388" t="n"/>
      <c r="HL3" s="388" t="n"/>
      <c r="HM3" s="388" t="n"/>
      <c r="HN3" s="388" t="n"/>
      <c r="HO3" s="388" t="n"/>
      <c r="HP3" s="388" t="n"/>
      <c r="HQ3" s="388" t="n"/>
      <c r="HR3" s="388" t="n"/>
      <c r="HS3" s="388" t="n"/>
      <c r="HT3" s="388" t="n"/>
      <c r="HU3" s="388" t="n"/>
      <c r="HV3" s="388" t="n"/>
      <c r="HW3" s="388" t="n"/>
      <c r="HX3" s="388" t="n"/>
      <c r="HY3" s="388" t="n"/>
      <c r="HZ3" s="388" t="n"/>
      <c r="IA3" s="388" t="n"/>
      <c r="IB3" s="388" t="n"/>
      <c r="IC3" s="388" t="n"/>
      <c r="ID3" s="388" t="n"/>
      <c r="IE3" s="388" t="n"/>
      <c r="IF3" s="388" t="n"/>
      <c r="IG3" s="388" t="n"/>
      <c r="IH3" s="388" t="n"/>
      <c r="II3" s="388" t="n"/>
      <c r="IJ3" s="388" t="n"/>
      <c r="IK3" s="388" t="n"/>
      <c r="IL3" s="388" t="n"/>
      <c r="IM3" s="388" t="n"/>
      <c r="IN3" s="388" t="n"/>
      <c r="IO3" s="388" t="n"/>
      <c r="IP3" s="388" t="n"/>
      <c r="IQ3" s="388" t="n"/>
      <c r="IR3" s="388" t="n"/>
      <c r="IS3" s="388" t="n"/>
      <c r="IT3" s="388" t="n"/>
      <c r="IU3" s="388" t="n"/>
      <c r="IV3" s="388" t="n"/>
      <c r="IW3" s="388" t="n"/>
      <c r="IX3" s="388" t="n"/>
      <c r="IY3" s="388" t="n"/>
      <c r="IZ3" s="388" t="n"/>
      <c r="JA3" s="388" t="n"/>
      <c r="JB3" s="388" t="n"/>
      <c r="JC3" s="388" t="n"/>
      <c r="JD3" s="388" t="n"/>
      <c r="JE3" s="388" t="n"/>
      <c r="JF3" s="388" t="n"/>
      <c r="JG3" s="388" t="n"/>
      <c r="JH3" s="388" t="n"/>
      <c r="JI3" s="388" t="n"/>
      <c r="JJ3" s="388" t="n"/>
      <c r="JK3" s="388" t="n"/>
      <c r="JL3" s="388" t="n"/>
      <c r="JM3" s="388" t="n"/>
      <c r="JN3" s="388" t="n"/>
      <c r="JO3" s="388" t="n"/>
      <c r="JP3" s="388" t="n"/>
      <c r="JQ3" s="388" t="n"/>
      <c r="JR3" s="388" t="n"/>
      <c r="JS3" s="388" t="n"/>
      <c r="JT3" s="388" t="n"/>
      <c r="JU3" s="388" t="n"/>
      <c r="JV3" s="388" t="n"/>
      <c r="JW3" s="388" t="n"/>
      <c r="JX3" s="388" t="n"/>
      <c r="JY3" s="388" t="n"/>
      <c r="JZ3" s="388" t="n"/>
      <c r="KA3" s="388" t="n"/>
      <c r="KB3" s="388" t="n"/>
      <c r="KC3" s="388" t="n"/>
      <c r="KD3" s="388" t="n"/>
      <c r="KE3" s="388" t="n"/>
      <c r="KF3" s="388" t="n"/>
      <c r="KG3" s="388" t="n"/>
      <c r="KH3" s="388" t="n"/>
      <c r="KI3" s="388" t="n"/>
      <c r="KJ3" s="388" t="n"/>
      <c r="KK3" s="388" t="n"/>
      <c r="KL3" s="388" t="n"/>
      <c r="KM3" s="388" t="n"/>
      <c r="KN3" s="388" t="n"/>
      <c r="KO3" s="388" t="n"/>
      <c r="KP3" s="388" t="n"/>
      <c r="KQ3" s="388" t="n"/>
      <c r="KR3" s="388" t="n"/>
      <c r="KS3" s="388" t="n"/>
      <c r="KT3" s="388" t="n"/>
      <c r="KU3" s="388" t="n"/>
      <c r="KV3" s="388" t="n"/>
      <c r="KW3" s="388" t="n"/>
      <c r="KX3" s="388" t="n"/>
      <c r="KY3" s="388" t="n"/>
      <c r="KZ3" s="388" t="n"/>
      <c r="LA3" s="388" t="n"/>
      <c r="LB3" s="388" t="n"/>
      <c r="LC3" s="388" t="n"/>
      <c r="LD3" s="388" t="n"/>
      <c r="LE3" s="388" t="n"/>
      <c r="LF3" s="388" t="n"/>
      <c r="LG3" s="388" t="n"/>
      <c r="LH3" s="388" t="n"/>
      <c r="LI3" s="388" t="n"/>
      <c r="LJ3" s="388" t="n"/>
      <c r="LK3" s="388" t="n"/>
      <c r="LL3" s="388" t="n"/>
      <c r="LM3" s="388" t="n"/>
      <c r="LN3" s="388" t="n"/>
      <c r="LO3" s="388" t="n"/>
      <c r="LP3" s="388" t="n"/>
      <c r="LQ3" s="388" t="n"/>
      <c r="LR3" s="388" t="n"/>
      <c r="LS3" s="388" t="n"/>
      <c r="LT3" s="388" t="n"/>
      <c r="LU3" s="388" t="n"/>
      <c r="LV3" s="388" t="n"/>
      <c r="LW3" s="388" t="n"/>
      <c r="LX3" s="388" t="n"/>
      <c r="LY3" s="388" t="n"/>
      <c r="LZ3" s="388" t="n"/>
      <c r="MA3" s="388" t="n"/>
      <c r="MB3" s="388" t="n"/>
      <c r="MC3" s="388" t="n"/>
      <c r="MD3" s="388" t="n"/>
      <c r="ME3" s="388" t="n"/>
      <c r="MF3" s="388" t="n"/>
      <c r="MG3" s="388" t="n"/>
      <c r="MH3" s="388" t="n"/>
      <c r="MI3" s="388" t="n"/>
      <c r="MJ3" s="388" t="n"/>
      <c r="MK3" s="388" t="n"/>
      <c r="ML3" s="388" t="n"/>
      <c r="MM3" s="388" t="n"/>
      <c r="MN3" s="388" t="n"/>
      <c r="MO3" s="388" t="n"/>
      <c r="MP3" s="388" t="n"/>
      <c r="MQ3" s="388" t="n"/>
      <c r="MR3" s="388" t="n"/>
      <c r="MS3" s="388" t="n"/>
      <c r="MT3" s="388" t="n"/>
      <c r="MU3" s="388" t="n"/>
      <c r="MV3" s="388" t="n"/>
      <c r="MW3" s="388" t="n"/>
      <c r="MX3" s="388" t="n"/>
      <c r="MY3" s="388" t="n"/>
      <c r="MZ3" s="388" t="n"/>
      <c r="NA3" s="388" t="n"/>
      <c r="NB3" s="388" t="n"/>
      <c r="NC3" s="388" t="n"/>
      <c r="ND3" s="388" t="n"/>
      <c r="NE3" s="388" t="n"/>
      <c r="NF3" s="388" t="n"/>
      <c r="NG3" s="388" t="n"/>
      <c r="NH3" s="388" t="n"/>
      <c r="NI3" s="388" t="n"/>
      <c r="NJ3" s="388" t="n"/>
      <c r="NK3" s="388" t="n"/>
      <c r="NL3" s="388" t="n"/>
      <c r="NM3" s="388" t="n"/>
      <c r="NN3" s="388" t="n"/>
      <c r="NO3" s="388" t="n"/>
      <c r="NP3" s="388" t="n"/>
      <c r="NQ3" s="388" t="n"/>
      <c r="NR3" s="388" t="n"/>
      <c r="NS3" s="388" t="n"/>
      <c r="NT3" s="388" t="n"/>
      <c r="NU3" s="388" t="n"/>
      <c r="NV3" s="388" t="n"/>
      <c r="NW3" s="388" t="n"/>
      <c r="NX3" s="388" t="n"/>
      <c r="NY3" s="388" t="n"/>
      <c r="NZ3" s="388" t="n"/>
      <c r="OA3" s="388" t="n"/>
      <c r="OB3" s="388" t="n"/>
      <c r="OC3" s="388" t="n"/>
      <c r="OD3" s="388" t="n"/>
      <c r="OE3" s="388" t="n"/>
      <c r="OF3" s="388" t="n"/>
      <c r="OG3" s="388" t="n"/>
      <c r="OH3" s="388" t="n"/>
      <c r="OI3" s="388" t="n"/>
      <c r="OJ3" s="388" t="n"/>
      <c r="OK3" s="388" t="n"/>
      <c r="OL3" s="388" t="n"/>
      <c r="OM3" s="388" t="n"/>
      <c r="ON3" s="388" t="n"/>
      <c r="OO3" s="388" t="n"/>
      <c r="OP3" s="388" t="n"/>
      <c r="OQ3" s="388" t="n"/>
      <c r="OR3" s="388" t="n"/>
      <c r="OS3" s="388" t="n"/>
      <c r="OT3" s="388" t="n"/>
      <c r="OU3" s="388" t="n"/>
      <c r="OV3" s="388" t="n"/>
      <c r="OW3" s="388" t="n"/>
      <c r="OX3" s="388" t="n"/>
      <c r="OY3" s="388" t="n"/>
      <c r="OZ3" s="388" t="n"/>
      <c r="PA3" s="388" t="n"/>
      <c r="PB3" s="388" t="n"/>
      <c r="PC3" s="388" t="n"/>
      <c r="PD3" s="388" t="n"/>
      <c r="PE3" s="388" t="n"/>
      <c r="PF3" s="388" t="n"/>
      <c r="PG3" s="388" t="n"/>
      <c r="PH3" s="388" t="n"/>
      <c r="PI3" s="388" t="n"/>
      <c r="PJ3" s="388" t="n"/>
      <c r="PK3" s="388" t="n"/>
      <c r="PL3" s="388" t="n"/>
      <c r="PM3" s="388" t="n"/>
      <c r="PN3" s="388" t="n"/>
      <c r="PO3" s="388" t="n"/>
      <c r="PP3" s="388" t="n"/>
      <c r="PQ3" s="388" t="n"/>
      <c r="PR3" s="388" t="n"/>
      <c r="PS3" s="388" t="n"/>
      <c r="PT3" s="388" t="n"/>
      <c r="PU3" s="388" t="n"/>
      <c r="PV3" s="388" t="n"/>
      <c r="PW3" s="388" t="n"/>
      <c r="PX3" s="388" t="n"/>
      <c r="PY3" s="388" t="n"/>
      <c r="PZ3" s="388" t="n"/>
      <c r="QA3" s="388" t="n"/>
      <c r="QB3" s="388" t="n"/>
      <c r="QC3" s="388" t="n"/>
      <c r="QD3" s="388" t="n"/>
      <c r="QE3" s="388" t="n"/>
      <c r="QF3" s="388" t="n"/>
      <c r="QG3" s="388" t="n"/>
      <c r="QH3" s="388" t="n"/>
      <c r="QI3" s="388" t="n"/>
      <c r="QJ3" s="388" t="n"/>
      <c r="QK3" s="388" t="n"/>
      <c r="QL3" s="388" t="n"/>
      <c r="QM3" s="388" t="n"/>
      <c r="QN3" s="388" t="n"/>
      <c r="QO3" s="388" t="n"/>
      <c r="QP3" s="388" t="n"/>
      <c r="QQ3" s="388" t="n"/>
      <c r="QR3" s="388" t="n"/>
      <c r="QS3" s="388" t="n"/>
      <c r="QT3" s="388" t="n"/>
      <c r="QU3" s="388" t="n"/>
      <c r="QV3" s="388" t="n"/>
      <c r="QW3" s="388" t="n"/>
      <c r="QX3" s="388" t="n"/>
      <c r="QY3" s="388" t="n"/>
      <c r="QZ3" s="388" t="n"/>
      <c r="RA3" s="388" t="n"/>
      <c r="RB3" s="388" t="n"/>
      <c r="RC3" s="388" t="n"/>
      <c r="RD3" s="388" t="n"/>
      <c r="RE3" s="388" t="n"/>
      <c r="RF3" s="388" t="n"/>
      <c r="RG3" s="388" t="n"/>
      <c r="RH3" s="388" t="n"/>
      <c r="RI3" s="388" t="n"/>
      <c r="RJ3" s="388" t="n"/>
      <c r="RK3" s="388" t="n"/>
      <c r="RL3" s="388" t="n"/>
      <c r="RM3" s="388" t="n"/>
      <c r="RN3" s="388" t="n"/>
      <c r="RO3" s="388" t="n"/>
      <c r="RP3" s="388" t="n"/>
      <c r="RQ3" s="388" t="n"/>
      <c r="RR3" s="388" t="n"/>
      <c r="RS3" s="388" t="n"/>
      <c r="RT3" s="388" t="n"/>
      <c r="RU3" s="388" t="n"/>
      <c r="RV3" s="388" t="n"/>
      <c r="RW3" s="388" t="n"/>
      <c r="RX3" s="388" t="n"/>
      <c r="RY3" s="388" t="n"/>
      <c r="RZ3" s="388" t="n"/>
      <c r="SA3" s="388" t="n"/>
      <c r="SB3" s="388" t="n"/>
      <c r="SC3" s="388" t="n"/>
      <c r="SD3" s="388" t="n"/>
      <c r="SE3" s="388" t="n"/>
      <c r="SF3" s="388" t="n"/>
      <c r="SG3" s="388" t="n"/>
      <c r="SH3" s="388" t="n"/>
      <c r="SI3" s="388" t="n"/>
      <c r="SJ3" s="388" t="n"/>
      <c r="SK3" s="388" t="n"/>
      <c r="SL3" s="388" t="n"/>
      <c r="SM3" s="388" t="n"/>
      <c r="SN3" s="388" t="n"/>
      <c r="SO3" s="388" t="n"/>
      <c r="SP3" s="388" t="n"/>
      <c r="SQ3" s="388" t="n"/>
      <c r="SR3" s="388" t="n"/>
      <c r="SS3" s="388" t="n"/>
      <c r="ST3" s="388" t="n"/>
      <c r="SU3" s="388" t="n"/>
      <c r="SV3" s="388" t="n"/>
      <c r="SW3" s="388" t="n"/>
      <c r="SX3" s="388" t="n"/>
      <c r="SY3" s="388" t="n"/>
      <c r="SZ3" s="388" t="n"/>
      <c r="TA3" s="388" t="n"/>
      <c r="TB3" s="388" t="n"/>
      <c r="TC3" s="388" t="n"/>
      <c r="TD3" s="388" t="n"/>
      <c r="TE3" s="388" t="n"/>
      <c r="TF3" s="388" t="n"/>
      <c r="TG3" s="388" t="n"/>
      <c r="TH3" s="388" t="n"/>
      <c r="TI3" s="388" t="n"/>
      <c r="TJ3" s="388" t="n"/>
      <c r="TK3" s="388" t="n"/>
      <c r="TL3" s="388" t="n"/>
      <c r="TM3" s="388" t="n"/>
      <c r="TN3" s="388" t="n"/>
      <c r="TO3" s="388" t="n"/>
      <c r="TP3" s="388" t="n"/>
      <c r="TQ3" s="388" t="n"/>
      <c r="TR3" s="388" t="n"/>
      <c r="TS3" s="388" t="n"/>
      <c r="TT3" s="388" t="n"/>
      <c r="TU3" s="388" t="n"/>
      <c r="TV3" s="388" t="n"/>
      <c r="TW3" s="388" t="n"/>
      <c r="TX3" s="388" t="n"/>
      <c r="TY3" s="388" t="n"/>
      <c r="TZ3" s="388" t="n"/>
      <c r="UA3" s="388" t="n"/>
      <c r="UB3" s="388" t="n"/>
      <c r="UC3" s="388" t="n"/>
      <c r="UD3" s="388" t="n"/>
      <c r="UE3" s="388" t="n"/>
      <c r="UF3" s="388" t="n"/>
      <c r="UG3" s="388" t="n"/>
      <c r="UH3" s="388" t="n"/>
      <c r="UI3" s="388" t="n"/>
      <c r="UJ3" s="388" t="n"/>
      <c r="UK3" s="388" t="n"/>
      <c r="UL3" s="388" t="n"/>
      <c r="UM3" s="388" t="n"/>
      <c r="UN3" s="388" t="n"/>
      <c r="UO3" s="388" t="n"/>
      <c r="UP3" s="388" t="n"/>
      <c r="UQ3" s="388" t="n"/>
      <c r="UR3" s="388" t="n"/>
      <c r="US3" s="388" t="n"/>
      <c r="UT3" s="388" t="n"/>
      <c r="UU3" s="388" t="n"/>
      <c r="UV3" s="388" t="n"/>
      <c r="UW3" s="388" t="n"/>
      <c r="UX3" s="388" t="n"/>
      <c r="UY3" s="388" t="n"/>
      <c r="UZ3" s="388" t="n"/>
      <c r="VA3" s="388" t="n"/>
      <c r="VB3" s="388" t="n"/>
      <c r="VC3" s="388" t="n"/>
      <c r="VD3" s="388" t="n"/>
      <c r="VE3" s="388" t="n"/>
      <c r="VF3" s="388" t="n"/>
      <c r="VG3" s="388" t="n"/>
      <c r="VH3" s="388" t="n"/>
      <c r="VI3" s="388" t="n"/>
      <c r="VJ3" s="388" t="n"/>
      <c r="VK3" s="388" t="n"/>
      <c r="VL3" s="388" t="n"/>
      <c r="VM3" s="388" t="n"/>
      <c r="VN3" s="388" t="n"/>
      <c r="VO3" s="388" t="n"/>
      <c r="VP3" s="388" t="n"/>
      <c r="VQ3" s="388" t="n"/>
      <c r="VR3" s="388" t="n"/>
      <c r="VS3" s="388" t="n"/>
      <c r="VT3" s="388" t="n"/>
      <c r="VU3" s="388" t="n"/>
      <c r="VV3" s="388" t="n"/>
      <c r="VW3" s="388" t="n"/>
      <c r="VX3" s="388" t="n"/>
    </row>
    <row r="4" ht="15" customFormat="1" customHeight="1" s="385">
      <c r="A4" s="386" t="n"/>
      <c r="B4" s="389">
        <f>IF(ISBLANK(Actuals!C14),"","Actuals")</f>
        <v/>
      </c>
      <c r="C4" s="389">
        <f>IF(ISBLANK(Actuals!D14),"","Actuals")</f>
        <v/>
      </c>
      <c r="D4" s="389">
        <f>IF(ISBLANK(Actuals!E14),"","Actuals")</f>
        <v/>
      </c>
      <c r="E4" s="389">
        <f>IF(ISBLANK(Actuals!F14),"","Actuals")</f>
        <v/>
      </c>
      <c r="F4" s="389">
        <f>IF(ISBLANK(Actuals!G14),"","Actuals")</f>
        <v/>
      </c>
      <c r="G4" s="389">
        <f>IF(ISBLANK(Actuals!H14),"","Actuals")</f>
        <v/>
      </c>
      <c r="H4" s="389">
        <f>IF(ISBLANK(Actuals!I14),"","Actuals")</f>
        <v/>
      </c>
      <c r="I4" s="389">
        <f>IF(ISBLANK(Actuals!J14),"","Actuals")</f>
        <v/>
      </c>
      <c r="J4" s="389">
        <f>IF(ISBLANK(Actuals!K14),"","Actuals")</f>
        <v/>
      </c>
      <c r="K4" s="389">
        <f>IF(ISBLANK(Actuals!L14),"","Actuals")</f>
        <v/>
      </c>
      <c r="L4" s="389">
        <f>IF(ISBLANK(Actuals!M14),"","Actuals")</f>
        <v/>
      </c>
      <c r="M4" s="389">
        <f>IF(ISBLANK(Actuals!N14),"","Actuals")</f>
        <v/>
      </c>
      <c r="N4" s="389">
        <f>IF(ISBLANK(Actuals!O14),"","Actuals")</f>
        <v/>
      </c>
      <c r="O4" s="389">
        <f>IF(ISBLANK(Actuals!P14),"","Actuals")</f>
        <v/>
      </c>
      <c r="P4" s="389">
        <f>IF(ISBLANK(Actuals!Q14),"","Actuals")</f>
        <v/>
      </c>
      <c r="Q4" s="389">
        <f>IF(ISBLANK(Actuals!R14),"","Actuals")</f>
        <v/>
      </c>
      <c r="R4" s="389">
        <f>IF(ISBLANK(Actuals!S14),"","Actuals")</f>
        <v/>
      </c>
      <c r="S4" s="389">
        <f>IF(ISBLANK(Actuals!T14),"","Actuals")</f>
        <v/>
      </c>
      <c r="T4" s="389">
        <f>IF(ISBLANK(Actuals!U14),"","Actuals")</f>
        <v/>
      </c>
      <c r="U4" s="389">
        <f>IF(ISBLANK(Actuals!V14),"","Actuals")</f>
        <v/>
      </c>
      <c r="V4" s="389">
        <f>IF(ISBLANK(Actuals!W14),"","Actuals")</f>
        <v/>
      </c>
      <c r="W4" s="389">
        <f>IF(ISBLANK(Actuals!X14),"","Actuals")</f>
        <v/>
      </c>
      <c r="X4" s="389">
        <f>IF(ISBLANK(Actuals!Y14),"","Actuals")</f>
        <v/>
      </c>
      <c r="Y4" s="389">
        <f>IF(ISBLANK(Actuals!Z14),"","Actuals")</f>
        <v/>
      </c>
      <c r="Z4" s="389">
        <f>IF(ISBLANK(Actuals!AA14),"","Actuals")</f>
        <v/>
      </c>
      <c r="AA4" s="389">
        <f>IF(ISBLANK(Actuals!AB14),"","Actuals")</f>
        <v/>
      </c>
      <c r="AB4" s="389">
        <f>IF(ISBLANK(Actuals!AC14),"","Actuals")</f>
        <v/>
      </c>
      <c r="AC4" s="389">
        <f>IF(ISBLANK(Actuals!AD14),"","Actuals")</f>
        <v/>
      </c>
      <c r="AD4" s="389">
        <f>IF(ISBLANK(Actuals!AE14),"","Actuals")</f>
        <v/>
      </c>
      <c r="AE4" s="389">
        <f>IF(ISBLANK(Actuals!AF14),"","Actuals")</f>
        <v/>
      </c>
      <c r="AF4" s="389">
        <f>IF(ISBLANK(Actuals!AG14),"","Actuals")</f>
        <v/>
      </c>
      <c r="AG4" s="389">
        <f>IF(ISBLANK(Actuals!AH14),"","Actuals")</f>
        <v/>
      </c>
      <c r="AH4" s="389">
        <f>IF(ISBLANK(Actuals!AI14),"","Actuals")</f>
        <v/>
      </c>
      <c r="AI4" s="389">
        <f>IF(ISBLANK(Actuals!AJ14),"","Actuals")</f>
        <v/>
      </c>
      <c r="AJ4" s="389">
        <f>IF(ISBLANK(Actuals!AK14),"","Actuals")</f>
        <v/>
      </c>
      <c r="AK4" s="389">
        <f>IF(ISBLANK(Actuals!AL14),"","Actuals")</f>
        <v/>
      </c>
      <c r="AL4" s="389">
        <f>IF(ISBLANK(Actuals!AM14),"","Actuals")</f>
        <v/>
      </c>
      <c r="AM4" s="389">
        <f>IF(ISBLANK(Actuals!AN14),"","Actuals")</f>
        <v/>
      </c>
      <c r="AN4" s="389">
        <f>IF(ISBLANK(Actuals!AO14),"","Actuals")</f>
        <v/>
      </c>
      <c r="AO4" s="389">
        <f>IF(ISBLANK(Actuals!AP14),"","Actuals")</f>
        <v/>
      </c>
      <c r="AP4" s="389">
        <f>IF(ISBLANK(Actuals!AQ14),"","Actuals")</f>
        <v/>
      </c>
      <c r="AQ4" s="389">
        <f>IF(ISBLANK(Actuals!AR14),"","Actuals")</f>
        <v/>
      </c>
      <c r="AR4" s="389">
        <f>IF(ISBLANK(Actuals!AS14),"","Actuals")</f>
        <v/>
      </c>
      <c r="AS4" s="389">
        <f>IF(ISBLANK(Actuals!AT14),"","Actuals")</f>
        <v/>
      </c>
      <c r="AT4" s="389">
        <f>IF(ISBLANK(Actuals!AU14),"","Actuals")</f>
        <v/>
      </c>
      <c r="AU4" s="389">
        <f>IF(ISBLANK(Actuals!AV14),"","Actuals")</f>
        <v/>
      </c>
      <c r="AV4" s="389">
        <f>IF(ISBLANK(Actuals!AW14),"","Actuals")</f>
        <v/>
      </c>
      <c r="AW4" s="389">
        <f>IF(ISBLANK(Actuals!AX14),"","Actuals")</f>
        <v/>
      </c>
      <c r="AX4" s="389">
        <f>IF(ISBLANK(Actuals!AY14),"","Actuals")</f>
        <v/>
      </c>
      <c r="AY4" s="389">
        <f>IF(ISBLANK(Actuals!AZ14),"","Actuals")</f>
        <v/>
      </c>
      <c r="AZ4" s="389">
        <f>IF(ISBLANK(Actuals!BA14),"","Actuals")</f>
        <v/>
      </c>
      <c r="BA4" s="389">
        <f>IF(ISBLANK(Actuals!BB14),"","Actuals")</f>
        <v/>
      </c>
      <c r="BB4" s="389">
        <f>IF(ISBLANK(Actuals!BC14),"","Actuals")</f>
        <v/>
      </c>
      <c r="BC4" s="389">
        <f>IF(ISBLANK(Actuals!BD14),"","Actuals")</f>
        <v/>
      </c>
      <c r="BD4" s="389">
        <f>IF(ISBLANK(Actuals!BE14),"","Actuals")</f>
        <v/>
      </c>
      <c r="BE4" s="389">
        <f>IF(ISBLANK(Actuals!BF14),"","Actuals")</f>
        <v/>
      </c>
      <c r="BF4" s="389">
        <f>IF(ISBLANK(Actuals!BG14),"","Actuals")</f>
        <v/>
      </c>
      <c r="BG4" s="389">
        <f>IF(ISBLANK(Actuals!BH14),"","Actuals")</f>
        <v/>
      </c>
      <c r="BH4" s="389">
        <f>IF(ISBLANK(Actuals!BI14),"","Actuals")</f>
        <v/>
      </c>
      <c r="BI4" s="389">
        <f>IF(ISBLANK(Actuals!BJ14),"","Actuals")</f>
        <v/>
      </c>
      <c r="BJ4" s="389">
        <f>IF(ISBLANK(Actuals!BK14),"","Actuals")</f>
        <v/>
      </c>
      <c r="BK4" s="389">
        <f>IF(ISBLANK(Actuals!BL14),"","Actuals")</f>
        <v/>
      </c>
      <c r="BL4" s="389">
        <f>IF(ISBLANK(Actuals!BM14),"","Actuals")</f>
        <v/>
      </c>
      <c r="BM4" s="389">
        <f>IF(ISBLANK(Actuals!BN14),"","Actuals")</f>
        <v/>
      </c>
      <c r="BN4" s="389">
        <f>IF(ISBLANK(Actuals!BO14),"","Actuals")</f>
        <v/>
      </c>
      <c r="BO4" s="389">
        <f>IF(ISBLANK(Actuals!BP14),"","Actuals")</f>
        <v/>
      </c>
      <c r="BP4" s="389">
        <f>IF(ISBLANK(Actuals!BQ14),"","Actuals")</f>
        <v/>
      </c>
      <c r="BQ4" s="389">
        <f>IF(ISBLANK(Actuals!BR14),"","Actuals")</f>
        <v/>
      </c>
      <c r="BR4" s="389">
        <f>IF(ISBLANK(Actuals!BS14),"","Actuals")</f>
        <v/>
      </c>
      <c r="BS4" s="389">
        <f>IF(ISBLANK(Actuals!BT14),"","Actuals")</f>
        <v/>
      </c>
      <c r="BT4" s="389">
        <f>IF(ISBLANK(Actuals!BU14),"","Actuals")</f>
        <v/>
      </c>
      <c r="BU4" s="389">
        <f>IF(ISBLANK(Actuals!BV14),"","Actuals")</f>
        <v/>
      </c>
      <c r="BV4" s="389">
        <f>IF(ISBLANK(Actuals!BW14),"","Actuals")</f>
        <v/>
      </c>
      <c r="BW4" s="389">
        <f>IF(ISBLANK(Actuals!BX14),"","Actuals")</f>
        <v/>
      </c>
      <c r="BX4" s="389">
        <f>IF(ISBLANK(Actuals!BY14),"","Actuals")</f>
        <v/>
      </c>
      <c r="BY4" s="389">
        <f>IF(ISBLANK(Actuals!BZ14),"","Actuals")</f>
        <v/>
      </c>
      <c r="BZ4" s="389">
        <f>IF(ISBLANK(Actuals!CA14),"","Actuals")</f>
        <v/>
      </c>
      <c r="CA4" s="389">
        <f>IF(ISBLANK(Actuals!CB14),"","Actuals")</f>
        <v/>
      </c>
      <c r="CB4" s="389">
        <f>IF(ISBLANK(Actuals!CC14),"","Actuals")</f>
        <v/>
      </c>
      <c r="CC4" s="389">
        <f>IF(ISBLANK(Actuals!CD14),"","Actuals")</f>
        <v/>
      </c>
      <c r="CD4" s="389">
        <f>IF(ISBLANK(Actuals!CE14),"","Actuals")</f>
        <v/>
      </c>
      <c r="CE4" s="389">
        <f>IF(ISBLANK(Actuals!CF14),"","Actuals")</f>
        <v/>
      </c>
      <c r="CF4" s="389">
        <f>IF(ISBLANK(Actuals!CG14),"","Actuals")</f>
        <v/>
      </c>
      <c r="CG4" s="389">
        <f>IF(ISBLANK(Actuals!CH14),"","Actuals")</f>
        <v/>
      </c>
      <c r="CH4" s="389">
        <f>IF(ISBLANK(Actuals!CI14),"","Actuals")</f>
        <v/>
      </c>
      <c r="CI4" s="389">
        <f>IF(ISBLANK(Actuals!CJ14),"","Actuals")</f>
        <v/>
      </c>
      <c r="CJ4" s="389">
        <f>IF(ISBLANK(Actuals!CK14),"","Actuals")</f>
        <v/>
      </c>
      <c r="CK4" s="389">
        <f>IF(ISBLANK(Actuals!CL14),"","Actuals")</f>
        <v/>
      </c>
      <c r="CL4" s="389">
        <f>IF(ISBLANK(Actuals!CM14),"","Actuals")</f>
        <v/>
      </c>
      <c r="CM4" s="389">
        <f>IF(ISBLANK(Actuals!CN14),"","Actuals")</f>
        <v/>
      </c>
      <c r="CN4" s="389">
        <f>IF(ISBLANK(Actuals!CO14),"","Actuals")</f>
        <v/>
      </c>
      <c r="CO4" s="389">
        <f>IF(ISBLANK(Actuals!CP14),"","Actuals")</f>
        <v/>
      </c>
      <c r="CP4" s="389">
        <f>IF(ISBLANK(Actuals!CQ14),"","Actuals")</f>
        <v/>
      </c>
      <c r="CQ4" s="389">
        <f>IF(ISBLANK(Actuals!CR14),"","Actuals")</f>
        <v/>
      </c>
      <c r="CR4" s="389">
        <f>IF(ISBLANK(Actuals!CS14),"","Actuals")</f>
        <v/>
      </c>
      <c r="CS4" s="389">
        <f>IF(ISBLANK(Actuals!CT14),"","Actuals")</f>
        <v/>
      </c>
      <c r="CT4" s="389">
        <f>IF(ISBLANK(Actuals!CU14),"","Actuals")</f>
        <v/>
      </c>
      <c r="CU4" s="389">
        <f>IF(ISBLANK(Actuals!CV14),"","Actuals")</f>
        <v/>
      </c>
      <c r="CV4" s="389">
        <f>IF(ISBLANK(Actuals!CW14),"","Actuals")</f>
        <v/>
      </c>
      <c r="CW4" s="389">
        <f>IF(ISBLANK(Actuals!CX14),"","Actuals")</f>
        <v/>
      </c>
      <c r="CX4" s="389">
        <f>IF(ISBLANK(Actuals!CY14),"","Actuals")</f>
        <v/>
      </c>
      <c r="CY4" s="389">
        <f>IF(ISBLANK(Actuals!CZ14),"","Actuals")</f>
        <v/>
      </c>
      <c r="CZ4" s="389">
        <f>IF(ISBLANK(Actuals!DA14),"","Actuals")</f>
        <v/>
      </c>
      <c r="DA4" s="389">
        <f>IF(ISBLANK(Actuals!DB14),"","Actuals")</f>
        <v/>
      </c>
      <c r="DB4" s="389">
        <f>IF(ISBLANK(Actuals!DC14),"","Actuals")</f>
        <v/>
      </c>
      <c r="DC4" s="389">
        <f>IF(ISBLANK(Actuals!DD14),"","Actuals")</f>
        <v/>
      </c>
      <c r="DD4" s="389">
        <f>IF(ISBLANK(Actuals!DE14),"","Actuals")</f>
        <v/>
      </c>
      <c r="DE4" s="389">
        <f>IF(ISBLANK(Actuals!DF14),"","Actuals")</f>
        <v/>
      </c>
      <c r="DF4" s="388" t="n"/>
      <c r="DG4" s="388" t="n"/>
      <c r="DH4" s="388" t="n"/>
      <c r="DI4" s="388" t="n"/>
      <c r="DJ4" s="388" t="n"/>
      <c r="DK4" s="388" t="n"/>
      <c r="DL4" s="388" t="n"/>
      <c r="DM4" s="388" t="n"/>
      <c r="DN4" s="388" t="n"/>
      <c r="DO4" s="388" t="n"/>
      <c r="DP4" s="388" t="n"/>
      <c r="DQ4" s="388" t="n"/>
      <c r="DR4" s="388" t="n"/>
      <c r="DS4" s="388" t="n"/>
      <c r="DT4" s="388" t="n"/>
      <c r="DU4" s="388" t="n"/>
      <c r="DV4" s="388" t="n"/>
      <c r="DW4" s="388" t="n"/>
      <c r="DX4" s="388" t="n"/>
      <c r="DY4" s="388" t="n"/>
      <c r="DZ4" s="388" t="n"/>
      <c r="EA4" s="388" t="n"/>
      <c r="EB4" s="388" t="n"/>
      <c r="EC4" s="388" t="n"/>
      <c r="ED4" s="388" t="n"/>
      <c r="EE4" s="388" t="n"/>
      <c r="EF4" s="388" t="n"/>
      <c r="EG4" s="388" t="n"/>
      <c r="EH4" s="388" t="n"/>
      <c r="EI4" s="388" t="n"/>
      <c r="EJ4" s="388" t="n"/>
      <c r="EK4" s="388" t="n"/>
      <c r="EL4" s="388" t="n"/>
      <c r="EM4" s="388" t="n"/>
      <c r="EN4" s="388" t="n"/>
      <c r="EO4" s="388" t="n"/>
      <c r="EP4" s="388" t="n"/>
      <c r="EQ4" s="388" t="n"/>
      <c r="ER4" s="388" t="n"/>
      <c r="ES4" s="388" t="n"/>
      <c r="ET4" s="388" t="n"/>
      <c r="EU4" s="388" t="n"/>
      <c r="EV4" s="388" t="n"/>
      <c r="EW4" s="388" t="n"/>
      <c r="EX4" s="388" t="n"/>
      <c r="EY4" s="388" t="n"/>
      <c r="EZ4" s="388" t="n"/>
      <c r="FA4" s="388" t="n"/>
      <c r="FB4" s="388" t="n"/>
      <c r="FC4" s="388" t="n"/>
      <c r="FD4" s="388" t="n"/>
      <c r="FE4" s="388" t="n"/>
      <c r="FF4" s="388" t="n"/>
      <c r="FG4" s="388" t="n"/>
      <c r="FH4" s="388" t="n"/>
      <c r="FI4" s="388" t="n"/>
      <c r="FJ4" s="388" t="n"/>
      <c r="FK4" s="388" t="n"/>
      <c r="FL4" s="388" t="n"/>
      <c r="FM4" s="388" t="n"/>
      <c r="FN4" s="388" t="n"/>
      <c r="FO4" s="388" t="n"/>
      <c r="FP4" s="388" t="n"/>
      <c r="FQ4" s="388" t="n"/>
      <c r="FR4" s="388" t="n"/>
      <c r="FS4" s="388" t="n"/>
      <c r="FT4" s="388" t="n"/>
      <c r="FU4" s="388" t="n"/>
      <c r="FV4" s="388" t="n"/>
      <c r="FW4" s="388" t="n"/>
      <c r="FX4" s="388" t="n"/>
      <c r="FY4" s="388" t="n"/>
      <c r="FZ4" s="388" t="n"/>
      <c r="GA4" s="388" t="n"/>
      <c r="GB4" s="388" t="n"/>
      <c r="GC4" s="388" t="n"/>
      <c r="GD4" s="388" t="n"/>
      <c r="GE4" s="388" t="n"/>
      <c r="GF4" s="388" t="n"/>
      <c r="GG4" s="388" t="n"/>
      <c r="GH4" s="388" t="n"/>
      <c r="GI4" s="388" t="n"/>
      <c r="GJ4" s="388" t="n"/>
      <c r="GK4" s="388" t="n"/>
      <c r="GL4" s="388" t="n"/>
      <c r="GM4" s="388" t="n"/>
      <c r="GN4" s="388" t="n"/>
      <c r="GO4" s="388" t="n"/>
      <c r="GP4" s="388" t="n"/>
      <c r="GQ4" s="388" t="n"/>
      <c r="GR4" s="388" t="n"/>
      <c r="GS4" s="388" t="n"/>
      <c r="GT4" s="388" t="n"/>
      <c r="GU4" s="388" t="n"/>
      <c r="GV4" s="388" t="n"/>
      <c r="GW4" s="388" t="n"/>
      <c r="GX4" s="388" t="n"/>
      <c r="GY4" s="388" t="n"/>
      <c r="GZ4" s="388" t="n"/>
      <c r="HA4" s="388" t="n"/>
      <c r="HB4" s="388" t="n"/>
      <c r="HC4" s="388" t="n"/>
      <c r="HD4" s="388" t="n"/>
      <c r="HE4" s="388" t="n"/>
      <c r="HF4" s="388" t="n"/>
      <c r="HG4" s="388" t="n"/>
      <c r="HH4" s="388" t="n"/>
      <c r="HI4" s="388" t="n"/>
      <c r="HJ4" s="388" t="n"/>
      <c r="HK4" s="388" t="n"/>
      <c r="HL4" s="388" t="n"/>
      <c r="HM4" s="388" t="n"/>
      <c r="HN4" s="388" t="n"/>
      <c r="HO4" s="388" t="n"/>
      <c r="HP4" s="388" t="n"/>
      <c r="HQ4" s="388" t="n"/>
      <c r="HR4" s="388" t="n"/>
      <c r="HS4" s="388" t="n"/>
      <c r="HT4" s="388" t="n"/>
      <c r="HU4" s="388" t="n"/>
      <c r="HV4" s="388" t="n"/>
      <c r="HW4" s="388" t="n"/>
      <c r="HX4" s="388" t="n"/>
      <c r="HY4" s="388" t="n"/>
      <c r="HZ4" s="388" t="n"/>
      <c r="IA4" s="388" t="n"/>
      <c r="IB4" s="388" t="n"/>
      <c r="IC4" s="388" t="n"/>
      <c r="ID4" s="388" t="n"/>
      <c r="IE4" s="388" t="n"/>
      <c r="IF4" s="388" t="n"/>
      <c r="IG4" s="388" t="n"/>
      <c r="IH4" s="388" t="n"/>
      <c r="II4" s="388" t="n"/>
      <c r="IJ4" s="388" t="n"/>
      <c r="IK4" s="388" t="n"/>
      <c r="IL4" s="388" t="n"/>
      <c r="IM4" s="388" t="n"/>
      <c r="IN4" s="388" t="n"/>
      <c r="IO4" s="388" t="n"/>
      <c r="IP4" s="388" t="n"/>
      <c r="IQ4" s="388" t="n"/>
      <c r="IR4" s="388" t="n"/>
      <c r="IS4" s="388" t="n"/>
      <c r="IT4" s="388" t="n"/>
      <c r="IU4" s="388" t="n"/>
      <c r="IV4" s="388" t="n"/>
      <c r="IW4" s="388" t="n"/>
      <c r="IX4" s="388" t="n"/>
      <c r="IY4" s="388" t="n"/>
      <c r="IZ4" s="388" t="n"/>
      <c r="JA4" s="388" t="n"/>
      <c r="JB4" s="388" t="n"/>
      <c r="JC4" s="388" t="n"/>
      <c r="JD4" s="388" t="n"/>
      <c r="JE4" s="388" t="n"/>
      <c r="JF4" s="388" t="n"/>
      <c r="JG4" s="388" t="n"/>
      <c r="JH4" s="388" t="n"/>
      <c r="JI4" s="388" t="n"/>
      <c r="JJ4" s="388" t="n"/>
      <c r="JK4" s="388" t="n"/>
      <c r="JL4" s="388" t="n"/>
      <c r="JM4" s="388" t="n"/>
      <c r="JN4" s="388" t="n"/>
      <c r="JO4" s="388" t="n"/>
      <c r="JP4" s="388" t="n"/>
      <c r="JQ4" s="388" t="n"/>
      <c r="JR4" s="388" t="n"/>
      <c r="JS4" s="388" t="n"/>
      <c r="JT4" s="388" t="n"/>
      <c r="JU4" s="388" t="n"/>
      <c r="JV4" s="388" t="n"/>
      <c r="JW4" s="388" t="n"/>
      <c r="JX4" s="388" t="n"/>
      <c r="JY4" s="388" t="n"/>
      <c r="JZ4" s="388" t="n"/>
      <c r="KA4" s="388" t="n"/>
      <c r="KB4" s="388" t="n"/>
      <c r="KC4" s="388" t="n"/>
      <c r="KD4" s="388" t="n"/>
      <c r="KE4" s="388" t="n"/>
      <c r="KF4" s="388" t="n"/>
      <c r="KG4" s="388" t="n"/>
      <c r="KH4" s="388" t="n"/>
      <c r="KI4" s="388" t="n"/>
      <c r="KJ4" s="388" t="n"/>
      <c r="KK4" s="388" t="n"/>
      <c r="KL4" s="388" t="n"/>
      <c r="KM4" s="388" t="n"/>
      <c r="KN4" s="388" t="n"/>
      <c r="KO4" s="388" t="n"/>
      <c r="KP4" s="388" t="n"/>
      <c r="KQ4" s="388" t="n"/>
      <c r="KR4" s="388" t="n"/>
      <c r="KS4" s="388" t="n"/>
      <c r="KT4" s="388" t="n"/>
      <c r="KU4" s="388" t="n"/>
      <c r="KV4" s="388" t="n"/>
      <c r="KW4" s="388" t="n"/>
      <c r="KX4" s="388" t="n"/>
      <c r="KY4" s="388" t="n"/>
      <c r="KZ4" s="388" t="n"/>
      <c r="LA4" s="388" t="n"/>
      <c r="LB4" s="388" t="n"/>
      <c r="LC4" s="388" t="n"/>
      <c r="LD4" s="388" t="n"/>
      <c r="LE4" s="388" t="n"/>
      <c r="LF4" s="388" t="n"/>
      <c r="LG4" s="388" t="n"/>
      <c r="LH4" s="388" t="n"/>
      <c r="LI4" s="388" t="n"/>
      <c r="LJ4" s="388" t="n"/>
      <c r="LK4" s="388" t="n"/>
      <c r="LL4" s="388" t="n"/>
      <c r="LM4" s="388" t="n"/>
      <c r="LN4" s="388" t="n"/>
      <c r="LO4" s="388" t="n"/>
      <c r="LP4" s="388" t="n"/>
      <c r="LQ4" s="388" t="n"/>
      <c r="LR4" s="388" t="n"/>
      <c r="LS4" s="388" t="n"/>
      <c r="LT4" s="388" t="n"/>
      <c r="LU4" s="388" t="n"/>
      <c r="LV4" s="388" t="n"/>
      <c r="LW4" s="388" t="n"/>
      <c r="LX4" s="388" t="n"/>
      <c r="LY4" s="388" t="n"/>
      <c r="LZ4" s="388" t="n"/>
      <c r="MA4" s="388" t="n"/>
      <c r="MB4" s="388" t="n"/>
      <c r="MC4" s="388" t="n"/>
      <c r="MD4" s="388" t="n"/>
      <c r="ME4" s="388" t="n"/>
      <c r="MF4" s="388" t="n"/>
      <c r="MG4" s="388" t="n"/>
      <c r="MH4" s="388" t="n"/>
      <c r="MI4" s="388" t="n"/>
      <c r="MJ4" s="388" t="n"/>
      <c r="MK4" s="388" t="n"/>
      <c r="ML4" s="388" t="n"/>
      <c r="MM4" s="388" t="n"/>
      <c r="MN4" s="388" t="n"/>
      <c r="MO4" s="388" t="n"/>
      <c r="MP4" s="388" t="n"/>
      <c r="MQ4" s="388" t="n"/>
      <c r="MR4" s="388" t="n"/>
      <c r="MS4" s="388" t="n"/>
      <c r="MT4" s="388" t="n"/>
      <c r="MU4" s="388" t="n"/>
      <c r="MV4" s="388" t="n"/>
      <c r="MW4" s="388" t="n"/>
      <c r="MX4" s="388" t="n"/>
      <c r="MY4" s="388" t="n"/>
      <c r="MZ4" s="388" t="n"/>
      <c r="NA4" s="388" t="n"/>
      <c r="NB4" s="388" t="n"/>
      <c r="NC4" s="388" t="n"/>
      <c r="ND4" s="388" t="n"/>
      <c r="NE4" s="388" t="n"/>
      <c r="NF4" s="388" t="n"/>
      <c r="NG4" s="388" t="n"/>
      <c r="NH4" s="388" t="n"/>
      <c r="NI4" s="388" t="n"/>
      <c r="NJ4" s="388" t="n"/>
      <c r="NK4" s="388" t="n"/>
      <c r="NL4" s="388" t="n"/>
      <c r="NM4" s="388" t="n"/>
      <c r="NN4" s="388" t="n"/>
      <c r="NO4" s="388" t="n"/>
      <c r="NP4" s="388" t="n"/>
      <c r="NQ4" s="388" t="n"/>
      <c r="NR4" s="388" t="n"/>
      <c r="NS4" s="388" t="n"/>
      <c r="NT4" s="388" t="n"/>
      <c r="NU4" s="388" t="n"/>
      <c r="NV4" s="388" t="n"/>
      <c r="NW4" s="388" t="n"/>
      <c r="NX4" s="388" t="n"/>
      <c r="NY4" s="388" t="n"/>
      <c r="NZ4" s="388" t="n"/>
      <c r="OA4" s="388" t="n"/>
      <c r="OB4" s="388" t="n"/>
      <c r="OC4" s="388" t="n"/>
      <c r="OD4" s="388" t="n"/>
      <c r="OE4" s="388" t="n"/>
      <c r="OF4" s="388" t="n"/>
      <c r="OG4" s="388" t="n"/>
      <c r="OH4" s="388" t="n"/>
      <c r="OI4" s="388" t="n"/>
      <c r="OJ4" s="388" t="n"/>
      <c r="OK4" s="388" t="n"/>
      <c r="OL4" s="388" t="n"/>
      <c r="OM4" s="388" t="n"/>
      <c r="ON4" s="388" t="n"/>
      <c r="OO4" s="388" t="n"/>
      <c r="OP4" s="388" t="n"/>
      <c r="OQ4" s="388" t="n"/>
      <c r="OR4" s="388" t="n"/>
      <c r="OS4" s="388" t="n"/>
      <c r="OT4" s="388" t="n"/>
      <c r="OU4" s="388" t="n"/>
      <c r="OV4" s="388" t="n"/>
      <c r="OW4" s="388" t="n"/>
      <c r="OX4" s="388" t="n"/>
      <c r="OY4" s="388" t="n"/>
      <c r="OZ4" s="388" t="n"/>
      <c r="PA4" s="388" t="n"/>
      <c r="PB4" s="388" t="n"/>
      <c r="PC4" s="388" t="n"/>
      <c r="PD4" s="388" t="n"/>
      <c r="PE4" s="388" t="n"/>
      <c r="PF4" s="388" t="n"/>
      <c r="PG4" s="388" t="n"/>
      <c r="PH4" s="388" t="n"/>
      <c r="PI4" s="388" t="n"/>
      <c r="PJ4" s="388" t="n"/>
      <c r="PK4" s="388" t="n"/>
      <c r="PL4" s="388" t="n"/>
      <c r="PM4" s="388" t="n"/>
      <c r="PN4" s="388" t="n"/>
      <c r="PO4" s="388" t="n"/>
      <c r="PP4" s="388" t="n"/>
      <c r="PQ4" s="388" t="n"/>
      <c r="PR4" s="388" t="n"/>
      <c r="PS4" s="388" t="n"/>
      <c r="PT4" s="388" t="n"/>
      <c r="PU4" s="388" t="n"/>
      <c r="PV4" s="388" t="n"/>
      <c r="PW4" s="388" t="n"/>
      <c r="PX4" s="388" t="n"/>
      <c r="PY4" s="388" t="n"/>
      <c r="PZ4" s="388" t="n"/>
      <c r="QA4" s="388" t="n"/>
      <c r="QB4" s="388" t="n"/>
      <c r="QC4" s="388" t="n"/>
      <c r="QD4" s="388" t="n"/>
      <c r="QE4" s="388" t="n"/>
      <c r="QF4" s="388" t="n"/>
      <c r="QG4" s="388" t="n"/>
      <c r="QH4" s="388" t="n"/>
      <c r="QI4" s="388" t="n"/>
      <c r="QJ4" s="388" t="n"/>
      <c r="QK4" s="388" t="n"/>
      <c r="QL4" s="388" t="n"/>
      <c r="QM4" s="388" t="n"/>
      <c r="QN4" s="388" t="n"/>
      <c r="QO4" s="388" t="n"/>
      <c r="QP4" s="388" t="n"/>
      <c r="QQ4" s="388" t="n"/>
      <c r="QR4" s="388" t="n"/>
      <c r="QS4" s="388" t="n"/>
      <c r="QT4" s="388" t="n"/>
      <c r="QU4" s="388" t="n"/>
      <c r="QV4" s="388" t="n"/>
      <c r="QW4" s="388" t="n"/>
      <c r="QX4" s="388" t="n"/>
      <c r="QY4" s="388" t="n"/>
      <c r="QZ4" s="388" t="n"/>
      <c r="RA4" s="388" t="n"/>
      <c r="RB4" s="388" t="n"/>
      <c r="RC4" s="388" t="n"/>
      <c r="RD4" s="388" t="n"/>
      <c r="RE4" s="388" t="n"/>
      <c r="RF4" s="388" t="n"/>
      <c r="RG4" s="388" t="n"/>
      <c r="RH4" s="388" t="n"/>
      <c r="RI4" s="388" t="n"/>
      <c r="RJ4" s="388" t="n"/>
      <c r="RK4" s="388" t="n"/>
      <c r="RL4" s="388" t="n"/>
      <c r="RM4" s="388" t="n"/>
      <c r="RN4" s="388" t="n"/>
      <c r="RO4" s="388" t="n"/>
      <c r="RP4" s="388" t="n"/>
      <c r="RQ4" s="388" t="n"/>
      <c r="RR4" s="388" t="n"/>
      <c r="RS4" s="388" t="n"/>
      <c r="RT4" s="388" t="n"/>
      <c r="RU4" s="388" t="n"/>
      <c r="RV4" s="388" t="n"/>
      <c r="RW4" s="388" t="n"/>
      <c r="RX4" s="388" t="n"/>
      <c r="RY4" s="388" t="n"/>
      <c r="RZ4" s="388" t="n"/>
      <c r="SA4" s="388" t="n"/>
      <c r="SB4" s="388" t="n"/>
      <c r="SC4" s="388" t="n"/>
      <c r="SD4" s="388" t="n"/>
      <c r="SE4" s="388" t="n"/>
      <c r="SF4" s="388" t="n"/>
      <c r="SG4" s="388" t="n"/>
      <c r="SH4" s="388" t="n"/>
      <c r="SI4" s="388" t="n"/>
      <c r="SJ4" s="388" t="n"/>
      <c r="SK4" s="388" t="n"/>
      <c r="SL4" s="388" t="n"/>
      <c r="SM4" s="388" t="n"/>
      <c r="SN4" s="388" t="n"/>
      <c r="SO4" s="388" t="n"/>
      <c r="SP4" s="388" t="n"/>
      <c r="SQ4" s="388" t="n"/>
      <c r="SR4" s="388" t="n"/>
      <c r="SS4" s="388" t="n"/>
      <c r="ST4" s="388" t="n"/>
      <c r="SU4" s="388" t="n"/>
      <c r="SV4" s="388" t="n"/>
      <c r="SW4" s="388" t="n"/>
      <c r="SX4" s="388" t="n"/>
      <c r="SY4" s="388" t="n"/>
      <c r="SZ4" s="388" t="n"/>
      <c r="TA4" s="388" t="n"/>
      <c r="TB4" s="388" t="n"/>
      <c r="TC4" s="388" t="n"/>
      <c r="TD4" s="388" t="n"/>
      <c r="TE4" s="388" t="n"/>
      <c r="TF4" s="388" t="n"/>
      <c r="TG4" s="388" t="n"/>
      <c r="TH4" s="388" t="n"/>
      <c r="TI4" s="388" t="n"/>
      <c r="TJ4" s="388" t="n"/>
      <c r="TK4" s="388" t="n"/>
      <c r="TL4" s="388" t="n"/>
      <c r="TM4" s="388" t="n"/>
      <c r="TN4" s="388" t="n"/>
      <c r="TO4" s="388" t="n"/>
      <c r="TP4" s="388" t="n"/>
      <c r="TQ4" s="388" t="n"/>
      <c r="TR4" s="388" t="n"/>
      <c r="TS4" s="388" t="n"/>
      <c r="TT4" s="388" t="n"/>
      <c r="TU4" s="388" t="n"/>
      <c r="TV4" s="388" t="n"/>
      <c r="TW4" s="388" t="n"/>
      <c r="TX4" s="388" t="n"/>
      <c r="TY4" s="388" t="n"/>
      <c r="TZ4" s="388" t="n"/>
      <c r="UA4" s="388" t="n"/>
      <c r="UB4" s="388" t="n"/>
      <c r="UC4" s="388" t="n"/>
      <c r="UD4" s="388" t="n"/>
      <c r="UE4" s="388" t="n"/>
      <c r="UF4" s="388" t="n"/>
      <c r="UG4" s="388" t="n"/>
      <c r="UH4" s="388" t="n"/>
      <c r="UI4" s="388" t="n"/>
      <c r="UJ4" s="388" t="n"/>
      <c r="UK4" s="388" t="n"/>
      <c r="UL4" s="388" t="n"/>
      <c r="UM4" s="388" t="n"/>
      <c r="UN4" s="388" t="n"/>
      <c r="UO4" s="388" t="n"/>
      <c r="UP4" s="388" t="n"/>
      <c r="UQ4" s="388" t="n"/>
      <c r="UR4" s="388" t="n"/>
      <c r="US4" s="388" t="n"/>
      <c r="UT4" s="388" t="n"/>
      <c r="UU4" s="388" t="n"/>
      <c r="UV4" s="388" t="n"/>
      <c r="UW4" s="388" t="n"/>
      <c r="UX4" s="388" t="n"/>
      <c r="UY4" s="388" t="n"/>
      <c r="UZ4" s="388" t="n"/>
      <c r="VA4" s="388" t="n"/>
      <c r="VB4" s="388" t="n"/>
      <c r="VC4" s="388" t="n"/>
      <c r="VD4" s="388" t="n"/>
      <c r="VE4" s="388" t="n"/>
      <c r="VF4" s="388" t="n"/>
      <c r="VG4" s="388" t="n"/>
      <c r="VH4" s="388" t="n"/>
      <c r="VI4" s="388" t="n"/>
      <c r="VJ4" s="388" t="n"/>
      <c r="VK4" s="388" t="n"/>
      <c r="VL4" s="388" t="n"/>
      <c r="VM4" s="388" t="n"/>
      <c r="VN4" s="388" t="n"/>
      <c r="VO4" s="388" t="n"/>
      <c r="VP4" s="388" t="n"/>
      <c r="VQ4" s="388" t="n"/>
      <c r="VR4" s="388" t="n"/>
      <c r="VS4" s="388" t="n"/>
      <c r="VT4" s="388" t="n"/>
      <c r="VU4" s="388" t="n"/>
      <c r="VV4" s="388" t="n"/>
      <c r="VW4" s="388" t="n"/>
      <c r="VX4" s="388" t="n"/>
    </row>
    <row r="5" ht="15" customFormat="1" customHeight="1" s="380">
      <c r="A5" s="390" t="inlineStr">
        <is>
          <t>YTD Actuals Snapshot:</t>
        </is>
      </c>
      <c r="B5" s="391" t="n"/>
      <c r="C5" s="392" t="n"/>
      <c r="D5" s="392" t="n"/>
      <c r="E5" s="393" t="n"/>
      <c r="F5" s="391" t="n"/>
      <c r="G5" s="392" t="n"/>
      <c r="H5" s="392" t="n"/>
      <c r="I5" s="392" t="n"/>
      <c r="J5" s="392" t="n"/>
      <c r="K5" s="392" t="n"/>
      <c r="L5" s="392" t="n"/>
      <c r="M5" s="392" t="n"/>
      <c r="N5" s="392" t="n"/>
      <c r="O5" s="392" t="n"/>
      <c r="P5" s="392" t="n"/>
      <c r="Q5" s="392" t="n"/>
      <c r="R5" s="392" t="n"/>
      <c r="S5" s="392" t="n"/>
      <c r="T5" s="392" t="n"/>
      <c r="U5" s="392" t="n"/>
      <c r="V5" s="392" t="n"/>
      <c r="W5" s="392" t="n"/>
      <c r="X5" s="392" t="n"/>
      <c r="Y5" s="392" t="n"/>
      <c r="Z5" s="392" t="n"/>
      <c r="AA5" s="392" t="n"/>
      <c r="AB5" s="392" t="n"/>
      <c r="AC5" s="392" t="n"/>
      <c r="AD5" s="392" t="n"/>
      <c r="AE5" s="392" t="n"/>
      <c r="AF5" s="392" t="n"/>
      <c r="AG5" s="392" t="n"/>
      <c r="AH5" s="392" t="n"/>
      <c r="AI5" s="392" t="n"/>
      <c r="AJ5" s="392" t="n"/>
      <c r="AK5" s="392" t="n"/>
      <c r="AL5" s="392" t="n"/>
      <c r="AM5" s="392" t="n"/>
      <c r="AN5" s="392" t="n"/>
      <c r="AO5" s="392" t="n"/>
      <c r="AP5" s="392" t="n"/>
      <c r="AQ5" s="392" t="n"/>
      <c r="AR5" s="392" t="n"/>
      <c r="AS5" s="392" t="n"/>
      <c r="AT5" s="392" t="n"/>
      <c r="AU5" s="392" t="n"/>
      <c r="AV5" s="392" t="n"/>
      <c r="AW5" s="392" t="n"/>
      <c r="AX5" s="392" t="n"/>
      <c r="AY5" s="392" t="n"/>
      <c r="AZ5" s="392" t="n"/>
      <c r="BA5" s="392" t="n"/>
      <c r="BB5" s="392" t="n"/>
      <c r="BC5" s="392" t="n"/>
      <c r="BD5" s="392" t="n"/>
      <c r="BE5" s="392" t="n"/>
      <c r="BF5" s="392" t="n"/>
      <c r="BG5" s="392" t="n"/>
      <c r="BH5" s="392" t="n"/>
      <c r="BI5" s="392" t="n"/>
      <c r="BJ5" s="392" t="n"/>
      <c r="BK5" s="392" t="n"/>
      <c r="BL5" s="392" t="n"/>
      <c r="BM5" s="392" t="n"/>
      <c r="BN5" s="392" t="n"/>
      <c r="BO5" s="392" t="n"/>
      <c r="BP5" s="392" t="n"/>
      <c r="BQ5" s="392" t="n"/>
      <c r="BR5" s="392" t="n"/>
      <c r="BS5" s="392" t="n"/>
      <c r="BT5" s="392" t="n"/>
      <c r="BU5" s="392" t="n"/>
      <c r="BV5" s="392" t="n"/>
      <c r="BW5" s="392" t="n"/>
      <c r="BX5" s="392" t="n"/>
      <c r="BY5" s="392" t="n"/>
      <c r="BZ5" s="392" t="n"/>
      <c r="CA5" s="392" t="n"/>
      <c r="CB5" s="392" t="n"/>
      <c r="CC5" s="392" t="n"/>
      <c r="CD5" s="392" t="n"/>
      <c r="CE5" s="392" t="n"/>
      <c r="CF5" s="392" t="n"/>
      <c r="CG5" s="392" t="n"/>
      <c r="CH5" s="392" t="n"/>
      <c r="CI5" s="392" t="n"/>
      <c r="CJ5" s="392" t="n"/>
      <c r="CK5" s="392" t="n"/>
      <c r="CL5" s="392" t="n"/>
      <c r="CM5" s="392" t="n"/>
      <c r="CN5" s="392" t="n"/>
      <c r="CO5" s="392" t="n"/>
      <c r="CP5" s="392" t="n"/>
      <c r="CQ5" s="392" t="n"/>
      <c r="CR5" s="392" t="n"/>
      <c r="CS5" s="392" t="n"/>
      <c r="CT5" s="392" t="n"/>
      <c r="CU5" s="392" t="n"/>
      <c r="CV5" s="392" t="n"/>
      <c r="CW5" s="392" t="n"/>
      <c r="CX5" s="392" t="n"/>
      <c r="CY5" s="392" t="n"/>
      <c r="CZ5" s="392" t="n"/>
      <c r="DA5" s="392" t="n"/>
      <c r="DB5" s="392" t="n"/>
      <c r="DC5" s="392" t="n"/>
      <c r="DD5" s="392" t="n"/>
      <c r="DE5" s="392" t="n"/>
    </row>
    <row r="6" ht="42" customFormat="1" customHeight="1" s="394">
      <c r="A6" s="395" t="n"/>
      <c r="B6" s="396" t="n"/>
      <c r="C6" s="396" t="n"/>
      <c r="D6" s="396" t="n"/>
      <c r="E6" s="396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6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6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6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6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6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6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6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6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6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6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6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6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6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6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6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6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6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6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6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6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6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6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6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6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6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6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6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6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6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6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6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6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6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6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6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6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6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6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6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6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6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6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6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6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6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6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6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6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6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6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6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6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6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6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6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6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6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6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6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6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6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6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6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6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6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6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6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6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6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6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6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6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6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6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6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6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6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6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6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6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6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6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6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6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6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6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6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6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6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6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6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6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6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6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6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6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6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6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6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6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6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6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6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6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7">
      <c r="A7" s="398" t="n"/>
      <c r="B7" s="399" t="n"/>
      <c r="C7" s="400" t="n"/>
      <c r="D7" s="400" t="n"/>
      <c r="E7" s="401" t="n"/>
      <c r="F7" s="399" t="n"/>
      <c r="G7" s="400" t="n"/>
      <c r="H7" s="400" t="n"/>
      <c r="I7" s="400" t="n"/>
      <c r="J7" s="400" t="n"/>
      <c r="K7" s="400" t="n"/>
      <c r="L7" s="400" t="n"/>
      <c r="M7" s="400" t="n"/>
      <c r="N7" s="400" t="n"/>
      <c r="O7" s="400" t="n"/>
      <c r="P7" s="400" t="n"/>
      <c r="Q7" s="400" t="n"/>
      <c r="R7" s="400" t="n"/>
      <c r="S7" s="400" t="n"/>
      <c r="T7" s="400" t="n"/>
      <c r="U7" s="400" t="n"/>
      <c r="V7" s="400" t="n"/>
      <c r="W7" s="400" t="n"/>
      <c r="X7" s="400" t="n"/>
      <c r="Y7" s="400" t="n"/>
      <c r="Z7" s="400" t="n"/>
      <c r="AA7" s="400" t="n"/>
      <c r="AB7" s="400" t="n"/>
      <c r="AC7" s="400" t="n"/>
      <c r="AD7" s="400" t="n"/>
      <c r="AE7" s="400" t="n"/>
      <c r="AF7" s="400" t="n"/>
      <c r="AG7" s="400" t="n"/>
      <c r="AH7" s="400" t="n"/>
      <c r="AI7" s="400" t="n"/>
      <c r="AJ7" s="400" t="n"/>
      <c r="AK7" s="400" t="n"/>
      <c r="AL7" s="400" t="n"/>
      <c r="AM7" s="400" t="n"/>
      <c r="AN7" s="400" t="n"/>
      <c r="AO7" s="400" t="n"/>
      <c r="AP7" s="400" t="n"/>
      <c r="AQ7" s="400" t="n"/>
      <c r="AR7" s="400" t="n"/>
      <c r="AS7" s="400" t="n"/>
      <c r="AT7" s="400" t="n"/>
      <c r="AU7" s="400" t="n"/>
      <c r="AV7" s="400" t="n"/>
      <c r="AW7" s="400" t="n"/>
      <c r="AX7" s="400" t="n"/>
      <c r="AY7" s="400" t="n"/>
      <c r="AZ7" s="400" t="n"/>
      <c r="BA7" s="400" t="n"/>
      <c r="BB7" s="400" t="n"/>
      <c r="BC7" s="400" t="n"/>
      <c r="BD7" s="400" t="n"/>
      <c r="BE7" s="400" t="n"/>
      <c r="BF7" s="400" t="n"/>
      <c r="BG7" s="400" t="n"/>
      <c r="BH7" s="400" t="n"/>
      <c r="BI7" s="400" t="n"/>
      <c r="BJ7" s="400" t="n"/>
      <c r="BK7" s="400" t="n"/>
      <c r="BL7" s="400" t="n"/>
      <c r="BM7" s="400" t="n"/>
      <c r="BN7" s="400" t="n"/>
      <c r="BO7" s="400" t="n"/>
      <c r="BP7" s="400" t="n"/>
      <c r="BQ7" s="400" t="n"/>
      <c r="BR7" s="400" t="n"/>
      <c r="BS7" s="400" t="n"/>
      <c r="BT7" s="400" t="n"/>
      <c r="BU7" s="400" t="n"/>
      <c r="BV7" s="400" t="n"/>
      <c r="BW7" s="400" t="n"/>
      <c r="BX7" s="400" t="n"/>
      <c r="BY7" s="400" t="n"/>
      <c r="BZ7" s="400" t="n"/>
      <c r="CA7" s="400" t="n"/>
      <c r="CB7" s="400" t="n"/>
      <c r="CC7" s="400" t="n"/>
      <c r="CD7" s="400" t="n"/>
      <c r="CE7" s="400" t="n"/>
      <c r="CF7" s="400" t="n"/>
      <c r="CG7" s="400" t="n"/>
      <c r="CH7" s="400" t="n"/>
      <c r="CI7" s="400" t="n"/>
      <c r="CJ7" s="400" t="n"/>
      <c r="CK7" s="400" t="n"/>
      <c r="CL7" s="400" t="n"/>
      <c r="CM7" s="400" t="n"/>
      <c r="CN7" s="400" t="n"/>
      <c r="CO7" s="400" t="n"/>
      <c r="CP7" s="400" t="n"/>
      <c r="CQ7" s="400" t="n"/>
      <c r="CR7" s="400" t="n"/>
      <c r="CS7" s="400" t="n"/>
      <c r="CT7" s="400" t="n"/>
      <c r="CU7" s="400" t="n"/>
      <c r="CV7" s="400" t="n"/>
      <c r="CW7" s="400" t="n"/>
      <c r="CX7" s="400" t="n"/>
      <c r="CY7" s="400" t="n"/>
      <c r="CZ7" s="400" t="n"/>
      <c r="DA7" s="400" t="n"/>
      <c r="DB7" s="400" t="n"/>
      <c r="DC7" s="400" t="n"/>
      <c r="DD7" s="400" t="n"/>
      <c r="DE7" s="400" t="n"/>
    </row>
    <row r="8" ht="15" customFormat="1" customHeight="1" s="402">
      <c r="A8" s="402" t="inlineStr">
        <is>
          <t>GC Revenue</t>
        </is>
      </c>
      <c r="B8" s="403" t="n"/>
      <c r="C8" s="404" t="n"/>
      <c r="D8" s="404" t="n"/>
      <c r="E8" s="405" t="n"/>
      <c r="F8" s="403" t="n"/>
      <c r="G8" s="404" t="n"/>
      <c r="H8" s="404" t="n"/>
      <c r="I8" s="404" t="n"/>
      <c r="J8" s="404" t="n"/>
      <c r="K8" s="404" t="n"/>
      <c r="L8" s="404" t="n"/>
      <c r="M8" s="404" t="n"/>
      <c r="N8" s="404" t="n"/>
      <c r="O8" s="404" t="n"/>
      <c r="P8" s="404" t="n"/>
      <c r="Q8" s="404" t="n"/>
      <c r="R8" s="404" t="n"/>
      <c r="S8" s="404" t="n"/>
      <c r="T8" s="404" t="n"/>
      <c r="U8" s="404" t="n"/>
      <c r="V8" s="404" t="n"/>
      <c r="W8" s="404" t="n"/>
      <c r="X8" s="404" t="n"/>
      <c r="Y8" s="404" t="n"/>
      <c r="Z8" s="404" t="n"/>
      <c r="AA8" s="404" t="n"/>
      <c r="AB8" s="404" t="n"/>
      <c r="AC8" s="404" t="n"/>
      <c r="AD8" s="404" t="n"/>
      <c r="AE8" s="404" t="n"/>
      <c r="AF8" s="404" t="n"/>
      <c r="AG8" s="404" t="n"/>
      <c r="AH8" s="404" t="n"/>
      <c r="AI8" s="404" t="n"/>
      <c r="AJ8" s="404" t="n"/>
      <c r="AK8" s="404" t="n"/>
      <c r="AL8" s="404" t="n"/>
      <c r="AM8" s="404" t="n"/>
      <c r="AN8" s="404" t="n"/>
      <c r="AO8" s="404" t="n"/>
      <c r="AP8" s="404" t="n"/>
      <c r="AQ8" s="404" t="n"/>
      <c r="AR8" s="404" t="n"/>
      <c r="AS8" s="404" t="n"/>
      <c r="AT8" s="404" t="n"/>
      <c r="AU8" s="404" t="n"/>
      <c r="AV8" s="404" t="n"/>
      <c r="AW8" s="404" t="n"/>
      <c r="AX8" s="404" t="n"/>
      <c r="AY8" s="404" t="n"/>
      <c r="AZ8" s="404" t="n"/>
      <c r="BA8" s="404" t="n"/>
      <c r="BB8" s="404" t="n"/>
      <c r="BC8" s="404" t="n"/>
      <c r="BD8" s="404" t="n"/>
      <c r="BE8" s="404" t="n"/>
      <c r="BF8" s="404" t="n"/>
      <c r="BG8" s="404" t="n"/>
      <c r="BH8" s="404" t="n"/>
      <c r="BI8" s="404" t="n"/>
      <c r="BJ8" s="404" t="n"/>
      <c r="BK8" s="404" t="n"/>
      <c r="BL8" s="404" t="n"/>
      <c r="BM8" s="404" t="n"/>
      <c r="BN8" s="404" t="n"/>
      <c r="BO8" s="404" t="n"/>
      <c r="BP8" s="404" t="n"/>
      <c r="BQ8" s="404" t="n"/>
      <c r="BR8" s="404" t="n"/>
      <c r="BS8" s="404" t="n"/>
      <c r="BT8" s="404" t="n"/>
      <c r="BU8" s="404" t="n"/>
      <c r="BV8" s="404" t="n"/>
      <c r="BW8" s="404" t="n"/>
      <c r="BX8" s="404" t="n"/>
      <c r="BY8" s="404" t="n"/>
      <c r="BZ8" s="404" t="n"/>
      <c r="CA8" s="404" t="n"/>
      <c r="CB8" s="404" t="n"/>
      <c r="CC8" s="404" t="n"/>
      <c r="CD8" s="404" t="n"/>
      <c r="CE8" s="404" t="n"/>
      <c r="CF8" s="404" t="n"/>
      <c r="CG8" s="404" t="n"/>
      <c r="CH8" s="404" t="n"/>
      <c r="CI8" s="404" t="n"/>
      <c r="CJ8" s="404" t="n"/>
      <c r="CK8" s="404" t="n"/>
      <c r="CL8" s="404" t="n"/>
      <c r="CM8" s="404" t="n"/>
      <c r="CN8" s="404" t="n"/>
      <c r="CO8" s="404" t="n"/>
      <c r="CP8" s="404" t="n"/>
      <c r="CQ8" s="404" t="n"/>
      <c r="CR8" s="404" t="n"/>
      <c r="CS8" s="404" t="n"/>
      <c r="CT8" s="404" t="n"/>
      <c r="CU8" s="404" t="n"/>
      <c r="CV8" s="404" t="n"/>
      <c r="CW8" s="404" t="n"/>
      <c r="CX8" s="404" t="n"/>
      <c r="CY8" s="404" t="n"/>
      <c r="CZ8" s="404" t="n"/>
      <c r="DA8" s="404" t="n"/>
      <c r="DB8" s="404" t="n"/>
      <c r="DC8" s="404" t="n"/>
      <c r="DD8" s="404" t="n"/>
      <c r="DE8" s="404" t="n"/>
    </row>
    <row r="9" ht="15" customFormat="1" customHeight="1" s="380">
      <c r="A9" s="397" t="n"/>
      <c r="B9" s="399" t="n"/>
      <c r="C9" s="392" t="n"/>
      <c r="D9" s="392" t="n"/>
      <c r="E9" s="392" t="n"/>
      <c r="F9" s="392" t="n"/>
      <c r="G9" s="392" t="n"/>
      <c r="H9" s="392" t="n"/>
      <c r="I9" s="392" t="n"/>
      <c r="J9" s="392" t="n"/>
      <c r="K9" s="392" t="n"/>
      <c r="L9" s="392" t="n"/>
      <c r="M9" s="392" t="n"/>
      <c r="N9" s="392" t="n"/>
      <c r="O9" s="392" t="n"/>
      <c r="P9" s="392" t="n"/>
      <c r="Q9" s="392" t="n"/>
      <c r="R9" s="392" t="n"/>
      <c r="S9" s="392" t="n"/>
      <c r="T9" s="392" t="n"/>
      <c r="U9" s="392" t="n"/>
      <c r="V9" s="392" t="n"/>
      <c r="W9" s="392" t="n"/>
      <c r="X9" s="392" t="n"/>
      <c r="Y9" s="392" t="n"/>
      <c r="Z9" s="392" t="n"/>
      <c r="AA9" s="392" t="n"/>
      <c r="AB9" s="392" t="n"/>
      <c r="AC9" s="392" t="n"/>
      <c r="AD9" s="392" t="n"/>
      <c r="AE9" s="392" t="n"/>
      <c r="AF9" s="392" t="n"/>
      <c r="AG9" s="392" t="n"/>
      <c r="AH9" s="392" t="n"/>
      <c r="AI9" s="392" t="n"/>
      <c r="AJ9" s="392" t="n"/>
      <c r="AK9" s="392" t="n"/>
      <c r="AL9" s="392" t="n"/>
      <c r="AM9" s="392" t="n"/>
      <c r="AN9" s="392" t="n"/>
      <c r="AO9" s="392" t="n"/>
      <c r="AP9" s="392" t="n"/>
      <c r="AQ9" s="392" t="n"/>
      <c r="AR9" s="392" t="n"/>
      <c r="AS9" s="392" t="n"/>
      <c r="AT9" s="392" t="n"/>
      <c r="AU9" s="392" t="n"/>
      <c r="AV9" s="392" t="n"/>
      <c r="AW9" s="392" t="n"/>
      <c r="AX9" s="392" t="n"/>
      <c r="AY9" s="392" t="n"/>
      <c r="AZ9" s="392" t="n"/>
      <c r="BA9" s="392" t="n"/>
      <c r="BB9" s="392" t="n"/>
      <c r="BC9" s="392" t="n"/>
      <c r="BD9" s="392" t="n"/>
      <c r="BE9" s="392" t="n"/>
      <c r="BF9" s="392" t="n"/>
      <c r="BG9" s="392" t="n"/>
      <c r="BH9" s="392" t="n"/>
      <c r="BI9" s="392" t="n"/>
      <c r="BJ9" s="392" t="n"/>
      <c r="BK9" s="392" t="n"/>
      <c r="BL9" s="392" t="n"/>
      <c r="BM9" s="392" t="n"/>
      <c r="BN9" s="392" t="n"/>
      <c r="BO9" s="392" t="n"/>
      <c r="BP9" s="392" t="n"/>
      <c r="BQ9" s="392" t="n"/>
      <c r="BR9" s="392" t="n"/>
      <c r="BS9" s="392" t="n"/>
      <c r="BT9" s="392" t="n"/>
      <c r="BU9" s="392" t="n"/>
      <c r="BV9" s="392" t="n"/>
      <c r="BW9" s="392" t="n"/>
      <c r="BX9" s="392" t="n"/>
      <c r="BY9" s="392" t="n"/>
      <c r="BZ9" s="392" t="n"/>
      <c r="CA9" s="392" t="n"/>
      <c r="CB9" s="392" t="n"/>
      <c r="CC9" s="392" t="n"/>
      <c r="CD9" s="392" t="n"/>
      <c r="CE9" s="392" t="n"/>
      <c r="CF9" s="392" t="n"/>
      <c r="CG9" s="392" t="n"/>
      <c r="CH9" s="392" t="n"/>
      <c r="CI9" s="392" t="n"/>
      <c r="CJ9" s="392" t="n"/>
      <c r="CK9" s="392" t="n"/>
      <c r="CL9" s="392" t="n"/>
      <c r="CM9" s="392" t="n"/>
      <c r="CN9" s="392" t="n"/>
      <c r="CO9" s="392" t="n"/>
      <c r="CP9" s="392" t="n"/>
      <c r="CQ9" s="392" t="n"/>
      <c r="CR9" s="392" t="n"/>
      <c r="CS9" s="392" t="n"/>
      <c r="CT9" s="392" t="n"/>
      <c r="CU9" s="392" t="n"/>
      <c r="CV9" s="392" t="n"/>
      <c r="CW9" s="392" t="n"/>
      <c r="CX9" s="392" t="n"/>
      <c r="CY9" s="392" t="n"/>
      <c r="CZ9" s="392" t="n"/>
      <c r="DA9" s="392" t="n"/>
      <c r="DB9" s="392" t="n"/>
      <c r="DC9" s="392" t="n"/>
      <c r="DD9" s="392" t="n"/>
      <c r="DE9" s="392" t="n"/>
    </row>
    <row r="10" ht="15" customFormat="1" customHeight="1" s="380">
      <c r="A10" s="397" t="inlineStr">
        <is>
          <t>Other GC Income</t>
        </is>
      </c>
      <c r="B10" s="392">
        <f>IF(ISBLANK(Actuals!C8),0,Actuals!C8)</f>
        <v/>
      </c>
      <c r="C10" s="392">
        <f>IF(ISBLANK(Actuals!D8),0,Actuals!D8)</f>
        <v/>
      </c>
      <c r="D10" s="392">
        <f>IF(ISBLANK(Actuals!E8),0,Actuals!E8)</f>
        <v/>
      </c>
      <c r="E10" s="392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2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2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2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2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2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2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2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2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2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2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2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2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2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2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2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2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2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2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2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2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2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2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2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2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2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2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2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2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2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2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2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2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2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2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2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2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2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2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2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2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2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2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2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2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2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2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2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2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2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2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2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2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2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2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2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2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2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2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2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2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2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2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2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2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2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2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2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2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2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2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2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2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2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2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2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2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2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2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2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2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2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2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2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2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2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2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2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2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2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2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2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2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2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2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2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2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2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2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2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2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2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2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2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2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Format="1" customHeight="1" s="380">
      <c r="A11" s="397" t="inlineStr">
        <is>
          <t>GC Fee Income</t>
        </is>
      </c>
      <c r="B11" s="392">
        <f>IF(ISBLANK(Actuals!C10),0,Actuals!C10)</f>
        <v/>
      </c>
      <c r="C11" s="392">
        <f>IF(ISBLANK(Actuals!D10),0,Actuals!D10)</f>
        <v/>
      </c>
      <c r="D11" s="392">
        <f>IF(ISBLANK(Actuals!E10),0,Actuals!E10)</f>
        <v/>
      </c>
      <c r="E11" s="392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2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2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2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2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2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2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2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2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2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2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2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2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2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2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2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2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2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2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2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2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2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2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2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2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2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2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2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2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2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2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2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2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2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2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2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2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2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2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2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2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2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2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2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2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2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2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2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2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2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2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2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2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2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2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2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2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2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2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2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2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2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2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2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2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2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2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2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2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2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2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2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2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2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2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2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2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2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2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2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2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2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2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2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2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2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2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2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2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2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2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2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2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2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2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2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2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2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2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2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2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2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2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2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2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Format="1" customHeight="1" s="380">
      <c r="A12" s="406" t="inlineStr">
        <is>
          <t>Trades and Site Cost Billing</t>
        </is>
      </c>
      <c r="B12" s="399" t="n"/>
      <c r="C12" s="399" t="n"/>
      <c r="D12" s="399" t="n"/>
      <c r="E12" s="399" t="n"/>
      <c r="F12" s="399" t="n"/>
      <c r="G12" s="399" t="n"/>
      <c r="H12" s="399" t="n"/>
      <c r="I12" s="399" t="n"/>
      <c r="J12" s="399" t="n"/>
      <c r="K12" s="399" t="n"/>
      <c r="L12" s="399" t="n"/>
      <c r="M12" s="399" t="n"/>
      <c r="N12" s="399" t="n"/>
      <c r="O12" s="399" t="n"/>
      <c r="P12" s="399" t="n"/>
      <c r="Q12" s="399" t="n"/>
      <c r="R12" s="399" t="n"/>
      <c r="S12" s="399" t="n"/>
      <c r="T12" s="399" t="n"/>
      <c r="U12" s="399" t="n"/>
      <c r="V12" s="399" t="n"/>
      <c r="W12" s="399" t="n"/>
      <c r="X12" s="399" t="n"/>
      <c r="Y12" s="399" t="n"/>
      <c r="Z12" s="399" t="n"/>
      <c r="AA12" s="399" t="n"/>
      <c r="AB12" s="399" t="n"/>
      <c r="AC12" s="399" t="n"/>
      <c r="AD12" s="399" t="n"/>
      <c r="AE12" s="399" t="n"/>
      <c r="AF12" s="399" t="n"/>
      <c r="AG12" s="399" t="n"/>
      <c r="AH12" s="399" t="n"/>
      <c r="AI12" s="399" t="n"/>
      <c r="AJ12" s="399" t="n"/>
      <c r="AK12" s="399" t="n"/>
      <c r="AL12" s="399" t="n"/>
      <c r="AM12" s="399" t="n"/>
      <c r="AN12" s="399" t="n"/>
      <c r="AO12" s="399" t="n"/>
      <c r="AP12" s="399" t="n"/>
      <c r="AQ12" s="399" t="n"/>
      <c r="AR12" s="399" t="n"/>
      <c r="AS12" s="399" t="n"/>
      <c r="AT12" s="399" t="n"/>
      <c r="AU12" s="399" t="n"/>
      <c r="AV12" s="399" t="n"/>
      <c r="AW12" s="399" t="n"/>
      <c r="AX12" s="399" t="n"/>
      <c r="AY12" s="399" t="n"/>
      <c r="AZ12" s="399" t="n"/>
      <c r="BA12" s="399" t="n"/>
      <c r="BB12" s="399" t="n"/>
      <c r="BC12" s="399" t="n"/>
      <c r="BD12" s="399" t="n"/>
      <c r="BE12" s="399" t="n"/>
      <c r="BF12" s="399" t="n"/>
      <c r="BG12" s="399" t="n"/>
      <c r="BH12" s="399" t="n"/>
      <c r="BI12" s="399" t="n"/>
      <c r="BJ12" s="399" t="n"/>
      <c r="BK12" s="399" t="n"/>
      <c r="BL12" s="399" t="n"/>
      <c r="BM12" s="399" t="n"/>
      <c r="BN12" s="399" t="n"/>
      <c r="BO12" s="399" t="n"/>
      <c r="BP12" s="399" t="n"/>
      <c r="BQ12" s="399" t="n"/>
      <c r="BR12" s="399" t="n"/>
      <c r="BS12" s="399" t="n"/>
      <c r="BT12" s="399" t="n"/>
      <c r="BU12" s="399" t="n"/>
      <c r="BV12" s="399" t="n"/>
      <c r="BW12" s="399" t="n"/>
      <c r="BX12" s="399" t="n"/>
      <c r="BY12" s="399" t="n"/>
      <c r="BZ12" s="399" t="n"/>
      <c r="CA12" s="399" t="n"/>
      <c r="CB12" s="399" t="n"/>
      <c r="CC12" s="399" t="n"/>
      <c r="CD12" s="399" t="n"/>
      <c r="CE12" s="399" t="n"/>
      <c r="CF12" s="399" t="n"/>
      <c r="CG12" s="399" t="n"/>
      <c r="CH12" s="399" t="n"/>
      <c r="CI12" s="399" t="n"/>
      <c r="CJ12" s="399" t="n"/>
      <c r="CK12" s="399" t="n"/>
      <c r="CL12" s="399" t="n"/>
      <c r="CM12" s="399" t="n"/>
      <c r="CN12" s="399" t="n"/>
      <c r="CO12" s="399" t="n"/>
      <c r="CP12" s="399" t="n"/>
      <c r="CQ12" s="399" t="n"/>
      <c r="CR12" s="399" t="n"/>
      <c r="CS12" s="399" t="n"/>
      <c r="CT12" s="399" t="n"/>
      <c r="CU12" s="399" t="n"/>
      <c r="CV12" s="399" t="n"/>
      <c r="CW12" s="399" t="n"/>
      <c r="CX12" s="399" t="n"/>
      <c r="CY12" s="399" t="n"/>
      <c r="CZ12" s="399" t="n"/>
      <c r="DA12" s="399" t="n"/>
      <c r="DB12" s="399" t="n"/>
      <c r="DC12" s="399" t="n"/>
      <c r="DD12" s="399" t="n"/>
      <c r="DE12" s="399" t="n"/>
    </row>
    <row r="13" hidden="1" outlineLevel="1" ht="15" customFormat="1" customHeight="1" s="380">
      <c r="A13" s="407" t="inlineStr">
        <is>
          <t>Crenshaw</t>
        </is>
      </c>
      <c r="B13" s="399" t="n">
        <v>392800.48</v>
      </c>
      <c r="C13" s="399" t="n">
        <v>636911.23</v>
      </c>
      <c r="D13" s="399" t="n">
        <v>648749.35</v>
      </c>
      <c r="E13" s="399" t="n">
        <v>704050.62</v>
      </c>
      <c r="F13" s="399" t="n">
        <v>711605.75</v>
      </c>
      <c r="G13" s="399" t="n">
        <v>887472.42</v>
      </c>
      <c r="H13" s="399" t="n">
        <v>1089049.37</v>
      </c>
      <c r="I13" s="399">
        <f>4190687.77*Curves!F$6/SUM(Curves!$E$6:$I$6)</f>
        <v/>
      </c>
      <c r="J13" s="399">
        <f>4190687.77*Curves!G$6/SUM(Curves!$E$6:$I$6)</f>
        <v/>
      </c>
      <c r="K13" s="399">
        <f>4190687.77*Curves!H$6/SUM(Curves!$E$6:$I$6)</f>
        <v/>
      </c>
      <c r="L13" s="399">
        <f>4190687.77*Curves!I$6/SUM(Curves!$E$6:$I$6)</f>
        <v/>
      </c>
      <c r="M13" s="399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399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399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399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399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399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399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399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399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399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399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399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399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399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399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399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399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399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399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399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399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399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399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399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399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399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399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399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399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399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399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399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399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399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399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399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399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399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399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399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399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399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399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399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399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399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399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399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399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399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399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399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399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399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399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399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399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399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399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399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399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399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399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399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399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399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399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399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399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399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399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399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399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399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399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399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399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399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399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399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399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399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399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399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399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399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399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399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399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399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399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399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399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399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399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399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399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Format="1" customHeight="1" s="380">
      <c r="A14" s="407" t="inlineStr">
        <is>
          <t>Ramsgate</t>
        </is>
      </c>
      <c r="B14" s="399" t="n">
        <v>607376.6</v>
      </c>
      <c r="C14" s="399" t="n">
        <v>1291217.23</v>
      </c>
      <c r="D14" s="399" t="n">
        <v>951766.47</v>
      </c>
      <c r="E14" s="399" t="n">
        <v>1237428.59</v>
      </c>
      <c r="F14" s="399" t="n">
        <v>1120082.41</v>
      </c>
      <c r="G14" s="399" t="n">
        <v>1858219.93</v>
      </c>
      <c r="H14" s="399" t="n">
        <v>1987246.69</v>
      </c>
      <c r="I14" s="399" t="n">
        <v>1263166.6</v>
      </c>
      <c r="J14" s="399" t="n">
        <v>1080865.59</v>
      </c>
      <c r="K14" s="399" t="n">
        <v>907471.96</v>
      </c>
      <c r="L14" s="399" t="n">
        <v>804175.89</v>
      </c>
      <c r="M14" s="399" t="n">
        <v>836424.9399999999</v>
      </c>
      <c r="N14" s="399" t="n">
        <v>1141488.12</v>
      </c>
      <c r="O14" s="399" t="n">
        <v>831668.03</v>
      </c>
      <c r="P14" s="399" t="n">
        <v>1111923.3</v>
      </c>
      <c r="Q14" s="399" t="n">
        <v>880988.48</v>
      </c>
      <c r="R14" s="399" t="n">
        <v>653443.66</v>
      </c>
      <c r="S14" s="399" t="n">
        <v>567093.62</v>
      </c>
      <c r="T14" s="399" t="n">
        <v>767040.45</v>
      </c>
      <c r="U14" s="399" t="n">
        <v>778438.76</v>
      </c>
      <c r="V14" s="399" t="n">
        <v>207929.38</v>
      </c>
      <c r="W14" s="399" t="n">
        <v>0</v>
      </c>
      <c r="X14" s="399" t="n">
        <v>0</v>
      </c>
      <c r="Y14" s="399" t="n">
        <v>0</v>
      </c>
      <c r="Z14" s="399" t="n">
        <v>0</v>
      </c>
      <c r="AA14" s="399" t="n">
        <v>0</v>
      </c>
      <c r="AB14" s="399" t="n">
        <v>0</v>
      </c>
      <c r="AC14" s="399" t="n">
        <v>0</v>
      </c>
      <c r="AD14" s="399" t="n">
        <v>0</v>
      </c>
      <c r="AE14" s="399" t="n">
        <v>0</v>
      </c>
      <c r="AF14" s="399" t="n">
        <v>0</v>
      </c>
      <c r="AG14" s="399" t="n">
        <v>0</v>
      </c>
      <c r="AH14" s="399" t="n">
        <v>0</v>
      </c>
      <c r="AI14" s="399" t="n">
        <v>0</v>
      </c>
      <c r="AJ14" s="399" t="n">
        <v>0</v>
      </c>
      <c r="AK14" s="399" t="n">
        <v>0</v>
      </c>
      <c r="AL14" s="399" t="n">
        <v>0</v>
      </c>
      <c r="AM14" s="399" t="n">
        <v>0</v>
      </c>
      <c r="AN14" s="399" t="n">
        <v>0</v>
      </c>
      <c r="AO14" s="399" t="n">
        <v>0</v>
      </c>
      <c r="AP14" s="399" t="n">
        <v>0</v>
      </c>
      <c r="AQ14" s="399" t="n">
        <v>0</v>
      </c>
      <c r="AR14" s="399" t="n">
        <v>0</v>
      </c>
      <c r="AS14" s="399" t="n">
        <v>0</v>
      </c>
      <c r="AT14" s="399" t="n">
        <v>0</v>
      </c>
      <c r="AU14" s="399" t="n">
        <v>0</v>
      </c>
      <c r="AV14" s="399" t="n">
        <v>0</v>
      </c>
      <c r="AW14" s="399" t="n">
        <v>0</v>
      </c>
      <c r="AX14" s="399" t="n">
        <v>0</v>
      </c>
      <c r="AY14" s="399" t="n">
        <v>0</v>
      </c>
      <c r="AZ14" s="399" t="n">
        <v>0</v>
      </c>
      <c r="BA14" s="399" t="n">
        <v>0</v>
      </c>
      <c r="BB14" s="399" t="n">
        <v>0</v>
      </c>
      <c r="BC14" s="399" t="n">
        <v>0</v>
      </c>
      <c r="BD14" s="399" t="n">
        <v>0</v>
      </c>
      <c r="BE14" s="399" t="n">
        <v>0</v>
      </c>
      <c r="BF14" s="399" t="n">
        <v>0</v>
      </c>
      <c r="BG14" s="399" t="n">
        <v>0</v>
      </c>
      <c r="BH14" s="399" t="n">
        <v>0</v>
      </c>
      <c r="BI14" s="399" t="n">
        <v>0</v>
      </c>
      <c r="BJ14" s="399" t="n">
        <v>0</v>
      </c>
      <c r="BK14" s="399" t="n">
        <v>0</v>
      </c>
      <c r="BL14" s="399" t="n">
        <v>0</v>
      </c>
      <c r="BM14" s="399" t="n">
        <v>0</v>
      </c>
      <c r="BN14" s="399" t="n">
        <v>0</v>
      </c>
      <c r="BO14" s="399" t="n">
        <v>0</v>
      </c>
      <c r="BP14" s="399" t="n">
        <v>0</v>
      </c>
      <c r="BQ14" s="399" t="n">
        <v>0</v>
      </c>
      <c r="BR14" s="399" t="n">
        <v>0</v>
      </c>
      <c r="BS14" s="399" t="n">
        <v>0</v>
      </c>
      <c r="BT14" s="399" t="n">
        <v>0</v>
      </c>
      <c r="BU14" s="399" t="n">
        <v>0</v>
      </c>
      <c r="BV14" s="399" t="n">
        <v>0</v>
      </c>
      <c r="BW14" s="399" t="n">
        <v>0</v>
      </c>
      <c r="BX14" s="399" t="n">
        <v>0</v>
      </c>
      <c r="BY14" s="399" t="n">
        <v>0</v>
      </c>
      <c r="BZ14" s="399" t="n">
        <v>0</v>
      </c>
      <c r="CA14" s="399" t="n">
        <v>0</v>
      </c>
      <c r="CB14" s="399" t="n">
        <v>0</v>
      </c>
      <c r="CC14" s="399" t="n">
        <v>0</v>
      </c>
      <c r="CD14" s="399" t="n">
        <v>0</v>
      </c>
      <c r="CE14" s="399" t="n">
        <v>0</v>
      </c>
      <c r="CF14" s="399" t="n">
        <v>0</v>
      </c>
      <c r="CG14" s="399" t="n">
        <v>0</v>
      </c>
      <c r="CH14" s="399" t="n">
        <v>0</v>
      </c>
      <c r="CI14" s="399" t="n">
        <v>0</v>
      </c>
      <c r="CJ14" s="399" t="n">
        <v>0</v>
      </c>
      <c r="CK14" s="399" t="n">
        <v>0</v>
      </c>
      <c r="CL14" s="399" t="n">
        <v>0</v>
      </c>
      <c r="CM14" s="399" t="n">
        <v>0</v>
      </c>
      <c r="CN14" s="399" t="n">
        <v>0</v>
      </c>
      <c r="CO14" s="399" t="n">
        <v>0</v>
      </c>
      <c r="CP14" s="399" t="n">
        <v>0</v>
      </c>
      <c r="CQ14" s="399" t="n">
        <v>0</v>
      </c>
      <c r="CR14" s="399" t="n">
        <v>0</v>
      </c>
      <c r="CS14" s="399" t="n">
        <v>0</v>
      </c>
      <c r="CT14" s="399" t="n">
        <v>0</v>
      </c>
      <c r="CU14" s="399" t="n">
        <v>0</v>
      </c>
      <c r="CV14" s="399" t="n">
        <v>0</v>
      </c>
      <c r="CW14" s="399" t="n">
        <v>0</v>
      </c>
      <c r="CX14" s="399" t="n">
        <v>0</v>
      </c>
      <c r="CY14" s="399" t="n">
        <v>0</v>
      </c>
      <c r="CZ14" s="399" t="n">
        <v>0</v>
      </c>
      <c r="DA14" s="399" t="n">
        <v>0</v>
      </c>
      <c r="DB14" s="399" t="n">
        <v>0</v>
      </c>
      <c r="DC14" s="399" t="n">
        <v>0</v>
      </c>
      <c r="DD14" s="399" t="n">
        <v>0</v>
      </c>
      <c r="DE14" s="399" t="n">
        <v>0</v>
      </c>
    </row>
    <row r="15" hidden="1" outlineLevel="1" ht="15" customFormat="1" customHeight="1" s="380">
      <c r="A15" s="407" t="inlineStr">
        <is>
          <t>Califa</t>
        </is>
      </c>
      <c r="B15" s="399" t="n">
        <v>144989.08</v>
      </c>
      <c r="C15" s="399" t="n">
        <v>518671.92</v>
      </c>
      <c r="D15" s="399" t="n">
        <v>287093.58</v>
      </c>
      <c r="E15" s="399" t="n">
        <v>571051.61</v>
      </c>
      <c r="F15" s="399" t="n">
        <v>1099379.66</v>
      </c>
      <c r="G15" s="399" t="n">
        <v>1315355.15</v>
      </c>
      <c r="H15" s="399" t="n">
        <v>603209.04</v>
      </c>
      <c r="I15" s="399" t="n">
        <v>585183.21</v>
      </c>
      <c r="J15" s="399" t="n">
        <v>603963.38</v>
      </c>
      <c r="K15" s="399" t="n">
        <v>563091.62</v>
      </c>
      <c r="L15" s="399" t="n">
        <v>629318.73</v>
      </c>
      <c r="M15" s="399" t="n">
        <v>751734.58</v>
      </c>
      <c r="N15" s="399" t="n">
        <v>674668.79</v>
      </c>
      <c r="O15" s="399" t="n">
        <v>615694.04</v>
      </c>
      <c r="P15" s="399" t="n">
        <v>694084.67</v>
      </c>
      <c r="Q15" s="399" t="n">
        <v>723252.22</v>
      </c>
      <c r="R15" s="399" t="n">
        <v>594153.61</v>
      </c>
      <c r="S15" s="399" t="n">
        <v>377468.25</v>
      </c>
      <c r="T15" s="399" t="n">
        <v>189218.1</v>
      </c>
      <c r="U15" s="399" t="n">
        <v>144619.25</v>
      </c>
      <c r="V15" s="399" t="n">
        <v>0</v>
      </c>
      <c r="W15" s="399" t="n">
        <v>0</v>
      </c>
      <c r="X15" s="399" t="n">
        <v>0</v>
      </c>
      <c r="Y15" s="399" t="n">
        <v>0</v>
      </c>
      <c r="Z15" s="399" t="n">
        <v>0</v>
      </c>
      <c r="AA15" s="399" t="n">
        <v>0</v>
      </c>
      <c r="AB15" s="399" t="n">
        <v>0</v>
      </c>
      <c r="AC15" s="399" t="n">
        <v>0</v>
      </c>
      <c r="AD15" s="399" t="n">
        <v>0</v>
      </c>
      <c r="AE15" s="399" t="n">
        <v>0</v>
      </c>
      <c r="AF15" s="399" t="n">
        <v>0</v>
      </c>
      <c r="AG15" s="399" t="n">
        <v>0</v>
      </c>
      <c r="AH15" s="399" t="n">
        <v>0</v>
      </c>
      <c r="AI15" s="399" t="n">
        <v>0</v>
      </c>
      <c r="AJ15" s="399" t="n">
        <v>0</v>
      </c>
      <c r="AK15" s="399" t="n">
        <v>0</v>
      </c>
      <c r="AL15" s="399" t="n">
        <v>0</v>
      </c>
      <c r="AM15" s="399" t="n">
        <v>0</v>
      </c>
      <c r="AN15" s="399" t="n">
        <v>0</v>
      </c>
      <c r="AO15" s="399" t="n">
        <v>0</v>
      </c>
      <c r="AP15" s="399" t="n">
        <v>0</v>
      </c>
      <c r="AQ15" s="399" t="n">
        <v>0</v>
      </c>
      <c r="AR15" s="399" t="n">
        <v>0</v>
      </c>
      <c r="AS15" s="399" t="n">
        <v>0</v>
      </c>
      <c r="AT15" s="399" t="n">
        <v>0</v>
      </c>
      <c r="AU15" s="399" t="n">
        <v>0</v>
      </c>
      <c r="AV15" s="399" t="n">
        <v>0</v>
      </c>
      <c r="AW15" s="399" t="n">
        <v>0</v>
      </c>
      <c r="AX15" s="399" t="n">
        <v>0</v>
      </c>
      <c r="AY15" s="399" t="n">
        <v>0</v>
      </c>
      <c r="AZ15" s="399" t="n">
        <v>0</v>
      </c>
      <c r="BA15" s="399" t="n">
        <v>0</v>
      </c>
      <c r="BB15" s="399" t="n">
        <v>0</v>
      </c>
      <c r="BC15" s="399" t="n">
        <v>0</v>
      </c>
      <c r="BD15" s="399" t="n">
        <v>0</v>
      </c>
      <c r="BE15" s="399" t="n">
        <v>0</v>
      </c>
      <c r="BF15" s="399" t="n">
        <v>0</v>
      </c>
      <c r="BG15" s="399" t="n">
        <v>0</v>
      </c>
      <c r="BH15" s="399" t="n">
        <v>0</v>
      </c>
      <c r="BI15" s="399" t="n">
        <v>0</v>
      </c>
      <c r="BJ15" s="399" t="n">
        <v>0</v>
      </c>
      <c r="BK15" s="399" t="n">
        <v>0</v>
      </c>
      <c r="BL15" s="399" t="n">
        <v>0</v>
      </c>
      <c r="BM15" s="399" t="n">
        <v>0</v>
      </c>
      <c r="BN15" s="399" t="n">
        <v>0</v>
      </c>
      <c r="BO15" s="399" t="n">
        <v>0</v>
      </c>
      <c r="BP15" s="399" t="n">
        <v>0</v>
      </c>
      <c r="BQ15" s="399" t="n">
        <v>0</v>
      </c>
      <c r="BR15" s="399" t="n">
        <v>0</v>
      </c>
      <c r="BS15" s="399" t="n">
        <v>0</v>
      </c>
      <c r="BT15" s="399" t="n">
        <v>0</v>
      </c>
      <c r="BU15" s="399" t="n">
        <v>0</v>
      </c>
      <c r="BV15" s="399" t="n">
        <v>0</v>
      </c>
      <c r="BW15" s="399" t="n">
        <v>0</v>
      </c>
      <c r="BX15" s="399" t="n">
        <v>0</v>
      </c>
      <c r="BY15" s="399" t="n">
        <v>0</v>
      </c>
      <c r="BZ15" s="399" t="n">
        <v>0</v>
      </c>
      <c r="CA15" s="399" t="n">
        <v>0</v>
      </c>
      <c r="CB15" s="399" t="n">
        <v>0</v>
      </c>
      <c r="CC15" s="399" t="n">
        <v>0</v>
      </c>
      <c r="CD15" s="399" t="n">
        <v>0</v>
      </c>
      <c r="CE15" s="399" t="n">
        <v>0</v>
      </c>
      <c r="CF15" s="399" t="n">
        <v>0</v>
      </c>
      <c r="CG15" s="399" t="n">
        <v>0</v>
      </c>
      <c r="CH15" s="399" t="n">
        <v>0</v>
      </c>
      <c r="CI15" s="399" t="n">
        <v>0</v>
      </c>
      <c r="CJ15" s="399" t="n">
        <v>0</v>
      </c>
      <c r="CK15" s="399" t="n">
        <v>0</v>
      </c>
      <c r="CL15" s="399" t="n">
        <v>0</v>
      </c>
      <c r="CM15" s="399" t="n">
        <v>0</v>
      </c>
      <c r="CN15" s="399" t="n">
        <v>0</v>
      </c>
      <c r="CO15" s="399" t="n">
        <v>0</v>
      </c>
      <c r="CP15" s="399" t="n">
        <v>0</v>
      </c>
      <c r="CQ15" s="399" t="n">
        <v>0</v>
      </c>
      <c r="CR15" s="399" t="n">
        <v>0</v>
      </c>
      <c r="CS15" s="399" t="n">
        <v>0</v>
      </c>
      <c r="CT15" s="399" t="n">
        <v>0</v>
      </c>
      <c r="CU15" s="399" t="n">
        <v>0</v>
      </c>
      <c r="CV15" s="399" t="n">
        <v>0</v>
      </c>
      <c r="CW15" s="399" t="n">
        <v>0</v>
      </c>
      <c r="CX15" s="399" t="n">
        <v>0</v>
      </c>
      <c r="CY15" s="399" t="n">
        <v>0</v>
      </c>
      <c r="CZ15" s="399" t="n">
        <v>0</v>
      </c>
      <c r="DA15" s="399" t="n">
        <v>0</v>
      </c>
      <c r="DB15" s="399" t="n">
        <v>0</v>
      </c>
      <c r="DC15" s="399" t="n">
        <v>0</v>
      </c>
      <c r="DD15" s="399" t="n">
        <v>0</v>
      </c>
      <c r="DE15" s="399" t="n">
        <v>0</v>
      </c>
    </row>
    <row r="16" hidden="1" outlineLevel="1" ht="15" customFormat="1" customHeight="1" s="380">
      <c r="A16" s="407" t="inlineStr">
        <is>
          <t>Whipple</t>
        </is>
      </c>
      <c r="B16" s="399" t="n">
        <v>96887.03</v>
      </c>
      <c r="C16" s="399" t="n">
        <v>107170.8</v>
      </c>
      <c r="D16" s="399" t="n">
        <v>229126.73</v>
      </c>
      <c r="E16" s="399" t="n">
        <v>577813.6</v>
      </c>
      <c r="F16" s="399" t="n">
        <v>785971.45</v>
      </c>
      <c r="G16" s="399" t="n">
        <v>1198349.29</v>
      </c>
      <c r="H16" s="399" t="n">
        <v>1191447.65</v>
      </c>
      <c r="I16" s="399" t="n">
        <v>449453.34</v>
      </c>
      <c r="J16" s="399" t="n">
        <v>925546.41</v>
      </c>
      <c r="K16" s="399" t="n">
        <v>821980.0600000001</v>
      </c>
      <c r="L16" s="399" t="n">
        <v>619146.84</v>
      </c>
      <c r="M16" s="399" t="n">
        <v>715421.53</v>
      </c>
      <c r="N16" s="399" t="n">
        <v>653231.72</v>
      </c>
      <c r="O16" s="399" t="n">
        <v>619153.15</v>
      </c>
      <c r="P16" s="399" t="n">
        <v>560550.8100000001</v>
      </c>
      <c r="Q16" s="399" t="n">
        <v>440306.1</v>
      </c>
      <c r="R16" s="399" t="n">
        <v>351742.71</v>
      </c>
      <c r="S16" s="399" t="n">
        <v>752314.78</v>
      </c>
      <c r="T16" s="399" t="n">
        <v>1002553.11</v>
      </c>
      <c r="U16" s="399" t="n">
        <v>674532.85</v>
      </c>
      <c r="V16" s="399" t="n">
        <v>436351.83</v>
      </c>
      <c r="W16" s="399" t="n">
        <v>158637.93</v>
      </c>
      <c r="X16" s="399" t="n">
        <v>0</v>
      </c>
      <c r="Y16" s="399" t="n">
        <v>0</v>
      </c>
      <c r="Z16" s="399" t="n">
        <v>0</v>
      </c>
      <c r="AA16" s="399" t="n">
        <v>0</v>
      </c>
      <c r="AB16" s="399" t="n">
        <v>0</v>
      </c>
      <c r="AC16" s="399" t="n">
        <v>0</v>
      </c>
      <c r="AD16" s="399" t="n">
        <v>0</v>
      </c>
      <c r="AE16" s="399" t="n">
        <v>0</v>
      </c>
      <c r="AF16" s="399" t="n">
        <v>0</v>
      </c>
      <c r="AG16" s="399" t="n">
        <v>0</v>
      </c>
      <c r="AH16" s="399" t="n">
        <v>0</v>
      </c>
      <c r="AI16" s="399" t="n">
        <v>0</v>
      </c>
      <c r="AJ16" s="399" t="n">
        <v>0</v>
      </c>
      <c r="AK16" s="399" t="n">
        <v>0</v>
      </c>
      <c r="AL16" s="399" t="n">
        <v>0</v>
      </c>
      <c r="AM16" s="399" t="n">
        <v>0</v>
      </c>
      <c r="AN16" s="399" t="n">
        <v>0</v>
      </c>
      <c r="AO16" s="399" t="n">
        <v>0</v>
      </c>
      <c r="AP16" s="399" t="n">
        <v>0</v>
      </c>
      <c r="AQ16" s="399" t="n">
        <v>0</v>
      </c>
      <c r="AR16" s="399" t="n">
        <v>0</v>
      </c>
      <c r="AS16" s="399" t="n">
        <v>0</v>
      </c>
      <c r="AT16" s="399" t="n">
        <v>0</v>
      </c>
      <c r="AU16" s="399" t="n">
        <v>0</v>
      </c>
      <c r="AV16" s="399" t="n">
        <v>0</v>
      </c>
      <c r="AW16" s="399" t="n">
        <v>0</v>
      </c>
      <c r="AX16" s="399" t="n">
        <v>0</v>
      </c>
      <c r="AY16" s="399" t="n">
        <v>0</v>
      </c>
      <c r="AZ16" s="399" t="n">
        <v>0</v>
      </c>
      <c r="BA16" s="399" t="n">
        <v>0</v>
      </c>
      <c r="BB16" s="399" t="n">
        <v>0</v>
      </c>
      <c r="BC16" s="399" t="n">
        <v>0</v>
      </c>
      <c r="BD16" s="399" t="n">
        <v>0</v>
      </c>
      <c r="BE16" s="399" t="n">
        <v>0</v>
      </c>
      <c r="BF16" s="399" t="n">
        <v>0</v>
      </c>
      <c r="BG16" s="399" t="n">
        <v>0</v>
      </c>
      <c r="BH16" s="399" t="n">
        <v>0</v>
      </c>
      <c r="BI16" s="399" t="n">
        <v>0</v>
      </c>
      <c r="BJ16" s="399" t="n">
        <v>0</v>
      </c>
      <c r="BK16" s="399" t="n">
        <v>0</v>
      </c>
      <c r="BL16" s="399" t="n">
        <v>0</v>
      </c>
      <c r="BM16" s="399" t="n">
        <v>0</v>
      </c>
      <c r="BN16" s="399" t="n">
        <v>0</v>
      </c>
      <c r="BO16" s="399" t="n">
        <v>0</v>
      </c>
      <c r="BP16" s="399" t="n">
        <v>0</v>
      </c>
      <c r="BQ16" s="399" t="n">
        <v>0</v>
      </c>
      <c r="BR16" s="399" t="n">
        <v>0</v>
      </c>
      <c r="BS16" s="399" t="n">
        <v>0</v>
      </c>
      <c r="BT16" s="399" t="n">
        <v>0</v>
      </c>
      <c r="BU16" s="399" t="n">
        <v>0</v>
      </c>
      <c r="BV16" s="399" t="n">
        <v>0</v>
      </c>
      <c r="BW16" s="399" t="n">
        <v>0</v>
      </c>
      <c r="BX16" s="399" t="n">
        <v>0</v>
      </c>
      <c r="BY16" s="399" t="n">
        <v>0</v>
      </c>
      <c r="BZ16" s="399" t="n">
        <v>0</v>
      </c>
      <c r="CA16" s="399" t="n">
        <v>0</v>
      </c>
      <c r="CB16" s="399" t="n">
        <v>0</v>
      </c>
      <c r="CC16" s="399" t="n">
        <v>0</v>
      </c>
      <c r="CD16" s="399" t="n">
        <v>0</v>
      </c>
      <c r="CE16" s="399" t="n">
        <v>0</v>
      </c>
      <c r="CF16" s="399" t="n">
        <v>0</v>
      </c>
      <c r="CG16" s="399" t="n">
        <v>0</v>
      </c>
      <c r="CH16" s="399" t="n">
        <v>0</v>
      </c>
      <c r="CI16" s="399" t="n">
        <v>0</v>
      </c>
      <c r="CJ16" s="399" t="n">
        <v>0</v>
      </c>
      <c r="CK16" s="399" t="n">
        <v>0</v>
      </c>
      <c r="CL16" s="399" t="n">
        <v>0</v>
      </c>
      <c r="CM16" s="399" t="n">
        <v>0</v>
      </c>
      <c r="CN16" s="399" t="n">
        <v>0</v>
      </c>
      <c r="CO16" s="399" t="n">
        <v>0</v>
      </c>
      <c r="CP16" s="399" t="n">
        <v>0</v>
      </c>
      <c r="CQ16" s="399" t="n">
        <v>0</v>
      </c>
      <c r="CR16" s="399" t="n">
        <v>0</v>
      </c>
      <c r="CS16" s="399" t="n">
        <v>0</v>
      </c>
      <c r="CT16" s="399" t="n">
        <v>0</v>
      </c>
      <c r="CU16" s="399" t="n">
        <v>0</v>
      </c>
      <c r="CV16" s="399" t="n">
        <v>0</v>
      </c>
      <c r="CW16" s="399" t="n">
        <v>0</v>
      </c>
      <c r="CX16" s="399" t="n">
        <v>0</v>
      </c>
      <c r="CY16" s="399" t="n">
        <v>0</v>
      </c>
      <c r="CZ16" s="399" t="n">
        <v>0</v>
      </c>
      <c r="DA16" s="399" t="n">
        <v>0</v>
      </c>
      <c r="DB16" s="399" t="n">
        <v>0</v>
      </c>
      <c r="DC16" s="399" t="n">
        <v>0</v>
      </c>
      <c r="DD16" s="399" t="n">
        <v>0</v>
      </c>
      <c r="DE16" s="399" t="n">
        <v>0</v>
      </c>
    </row>
    <row r="17" hidden="1" outlineLevel="1" ht="15" customFormat="1" customHeight="1" s="380">
      <c r="A17" s="407" t="inlineStr">
        <is>
          <t>Nelrose</t>
        </is>
      </c>
      <c r="B17" s="399" t="n">
        <v>0</v>
      </c>
      <c r="C17" s="399" t="n">
        <v>156463.3</v>
      </c>
      <c r="D17" s="399" t="n">
        <v>285674.3</v>
      </c>
      <c r="E17" s="399" t="n">
        <v>222415.49</v>
      </c>
      <c r="F17" s="399" t="n">
        <v>222238.96</v>
      </c>
      <c r="G17" s="399" t="n">
        <v>325125.94</v>
      </c>
      <c r="H17" s="399" t="n">
        <v>251137.32</v>
      </c>
      <c r="I17" s="399" t="n">
        <v>212355.58</v>
      </c>
      <c r="J17" s="399" t="n">
        <v>292519.05</v>
      </c>
      <c r="K17" s="399" t="n">
        <v>450328.06</v>
      </c>
      <c r="L17" s="399" t="n">
        <v>246565.55</v>
      </c>
      <c r="M17" s="399" t="n">
        <v>208840.6</v>
      </c>
      <c r="N17" s="399" t="n">
        <v>279911.11</v>
      </c>
      <c r="O17" s="399" t="n">
        <v>246649.63</v>
      </c>
      <c r="P17" s="399" t="n">
        <v>95976.7</v>
      </c>
      <c r="Q17" s="399" t="n">
        <v>110015.5</v>
      </c>
      <c r="R17" s="399" t="n">
        <v>53831.42</v>
      </c>
      <c r="S17" s="399" t="n">
        <v>15804.6</v>
      </c>
      <c r="T17" s="399" t="n">
        <v>0</v>
      </c>
      <c r="U17" s="399" t="n">
        <v>0</v>
      </c>
      <c r="V17" s="399" t="n">
        <v>0</v>
      </c>
      <c r="W17" s="399" t="n">
        <v>0</v>
      </c>
      <c r="X17" s="399" t="n">
        <v>0</v>
      </c>
      <c r="Y17" s="399" t="n">
        <v>0</v>
      </c>
      <c r="Z17" s="399" t="n">
        <v>0</v>
      </c>
      <c r="AA17" s="399" t="n">
        <v>0</v>
      </c>
      <c r="AB17" s="399" t="n">
        <v>0</v>
      </c>
      <c r="AC17" s="399" t="n">
        <v>0</v>
      </c>
      <c r="AD17" s="399" t="n">
        <v>0</v>
      </c>
      <c r="AE17" s="399" t="n">
        <v>0</v>
      </c>
      <c r="AF17" s="399" t="n">
        <v>0</v>
      </c>
      <c r="AG17" s="399" t="n">
        <v>0</v>
      </c>
      <c r="AH17" s="399" t="n">
        <v>0</v>
      </c>
      <c r="AI17" s="399" t="n">
        <v>0</v>
      </c>
      <c r="AJ17" s="399" t="n">
        <v>0</v>
      </c>
      <c r="AK17" s="399" t="n">
        <v>0</v>
      </c>
      <c r="AL17" s="399" t="n">
        <v>0</v>
      </c>
      <c r="AM17" s="399" t="n">
        <v>0</v>
      </c>
      <c r="AN17" s="399" t="n">
        <v>0</v>
      </c>
      <c r="AO17" s="399" t="n">
        <v>0</v>
      </c>
      <c r="AP17" s="399" t="n">
        <v>0</v>
      </c>
      <c r="AQ17" s="399" t="n">
        <v>0</v>
      </c>
      <c r="AR17" s="399" t="n">
        <v>0</v>
      </c>
      <c r="AS17" s="399" t="n">
        <v>0</v>
      </c>
      <c r="AT17" s="399" t="n">
        <v>0</v>
      </c>
      <c r="AU17" s="399" t="n">
        <v>0</v>
      </c>
      <c r="AV17" s="399" t="n">
        <v>0</v>
      </c>
      <c r="AW17" s="399" t="n">
        <v>0</v>
      </c>
      <c r="AX17" s="399" t="n">
        <v>0</v>
      </c>
      <c r="AY17" s="399" t="n">
        <v>0</v>
      </c>
      <c r="AZ17" s="399" t="n">
        <v>0</v>
      </c>
      <c r="BA17" s="399" t="n">
        <v>0</v>
      </c>
      <c r="BB17" s="399" t="n">
        <v>0</v>
      </c>
      <c r="BC17" s="399" t="n">
        <v>0</v>
      </c>
      <c r="BD17" s="399" t="n">
        <v>0</v>
      </c>
      <c r="BE17" s="399" t="n">
        <v>0</v>
      </c>
      <c r="BF17" s="399" t="n">
        <v>0</v>
      </c>
      <c r="BG17" s="399" t="n">
        <v>0</v>
      </c>
      <c r="BH17" s="399" t="n">
        <v>0</v>
      </c>
      <c r="BI17" s="399" t="n">
        <v>0</v>
      </c>
      <c r="BJ17" s="399" t="n">
        <v>0</v>
      </c>
      <c r="BK17" s="399" t="n">
        <v>0</v>
      </c>
      <c r="BL17" s="399" t="n">
        <v>0</v>
      </c>
      <c r="BM17" s="399" t="n">
        <v>0</v>
      </c>
      <c r="BN17" s="399" t="n">
        <v>0</v>
      </c>
      <c r="BO17" s="399" t="n">
        <v>0</v>
      </c>
      <c r="BP17" s="399" t="n">
        <v>0</v>
      </c>
      <c r="BQ17" s="399" t="n">
        <v>0</v>
      </c>
      <c r="BR17" s="399" t="n">
        <v>0</v>
      </c>
      <c r="BS17" s="399" t="n">
        <v>0</v>
      </c>
      <c r="BT17" s="399" t="n">
        <v>0</v>
      </c>
      <c r="BU17" s="399" t="n">
        <v>0</v>
      </c>
      <c r="BV17" s="399" t="n">
        <v>0</v>
      </c>
      <c r="BW17" s="399" t="n">
        <v>0</v>
      </c>
      <c r="BX17" s="399" t="n">
        <v>0</v>
      </c>
      <c r="BY17" s="399" t="n">
        <v>0</v>
      </c>
      <c r="BZ17" s="399" t="n">
        <v>0</v>
      </c>
      <c r="CA17" s="399" t="n">
        <v>0</v>
      </c>
      <c r="CB17" s="399" t="n">
        <v>0</v>
      </c>
      <c r="CC17" s="399" t="n">
        <v>0</v>
      </c>
      <c r="CD17" s="399" t="n">
        <v>0</v>
      </c>
      <c r="CE17" s="399" t="n">
        <v>0</v>
      </c>
      <c r="CF17" s="399" t="n">
        <v>0</v>
      </c>
      <c r="CG17" s="399" t="n">
        <v>0</v>
      </c>
      <c r="CH17" s="399" t="n">
        <v>0</v>
      </c>
      <c r="CI17" s="399" t="n">
        <v>0</v>
      </c>
      <c r="CJ17" s="399" t="n">
        <v>0</v>
      </c>
      <c r="CK17" s="399" t="n">
        <v>0</v>
      </c>
      <c r="CL17" s="399" t="n">
        <v>0</v>
      </c>
      <c r="CM17" s="399" t="n">
        <v>0</v>
      </c>
      <c r="CN17" s="399" t="n">
        <v>0</v>
      </c>
      <c r="CO17" s="399" t="n">
        <v>0</v>
      </c>
      <c r="CP17" s="399" t="n">
        <v>0</v>
      </c>
      <c r="CQ17" s="399" t="n">
        <v>0</v>
      </c>
      <c r="CR17" s="399" t="n">
        <v>0</v>
      </c>
      <c r="CS17" s="399" t="n">
        <v>0</v>
      </c>
      <c r="CT17" s="399" t="n">
        <v>0</v>
      </c>
      <c r="CU17" s="399" t="n">
        <v>0</v>
      </c>
      <c r="CV17" s="399" t="n">
        <v>0</v>
      </c>
      <c r="CW17" s="399" t="n">
        <v>0</v>
      </c>
      <c r="CX17" s="399" t="n">
        <v>0</v>
      </c>
      <c r="CY17" s="399" t="n">
        <v>0</v>
      </c>
      <c r="CZ17" s="399" t="n">
        <v>0</v>
      </c>
      <c r="DA17" s="399" t="n">
        <v>0</v>
      </c>
      <c r="DB17" s="399" t="n">
        <v>0</v>
      </c>
      <c r="DC17" s="399" t="n">
        <v>0</v>
      </c>
      <c r="DD17" s="399" t="n">
        <v>0</v>
      </c>
      <c r="DE17" s="399" t="n">
        <v>0</v>
      </c>
    </row>
    <row r="18" hidden="1" outlineLevel="1" ht="15" customFormat="1" customHeight="1" s="380">
      <c r="A18" s="407" t="inlineStr">
        <is>
          <t>Francis</t>
        </is>
      </c>
      <c r="B18" s="399" t="n">
        <v>0</v>
      </c>
      <c r="C18" s="399" t="n">
        <v>0</v>
      </c>
      <c r="D18" s="399" t="n">
        <v>0</v>
      </c>
      <c r="E18" s="399" t="n">
        <v>0</v>
      </c>
      <c r="F18" s="399" t="n">
        <v>0</v>
      </c>
      <c r="G18" s="399" t="n">
        <v>0</v>
      </c>
      <c r="H18" s="399" t="n">
        <v>92942</v>
      </c>
      <c r="I18" s="399" t="n">
        <v>309349.13</v>
      </c>
      <c r="J18" s="399" t="n">
        <v>734627.75</v>
      </c>
      <c r="K18" s="399" t="n">
        <v>1031862.26</v>
      </c>
      <c r="L18" s="399" t="n">
        <v>670762.14</v>
      </c>
      <c r="M18" s="399" t="n">
        <v>502701.41</v>
      </c>
      <c r="N18" s="399" t="n">
        <v>640423.23</v>
      </c>
      <c r="O18" s="399" t="n">
        <v>518087.99</v>
      </c>
      <c r="P18" s="399" t="n">
        <v>625083.61</v>
      </c>
      <c r="Q18" s="399" t="n">
        <v>527941.35</v>
      </c>
      <c r="R18" s="399" t="n">
        <v>648842.42</v>
      </c>
      <c r="S18" s="399" t="n">
        <v>609836.71</v>
      </c>
      <c r="T18" s="399" t="n">
        <v>1093856.58</v>
      </c>
      <c r="U18" s="399" t="n">
        <v>699027.38</v>
      </c>
      <c r="V18" s="399" t="n">
        <v>2084550.48</v>
      </c>
      <c r="W18" s="399" t="n">
        <v>1316830.2</v>
      </c>
      <c r="X18" s="399" t="n">
        <v>2704840.19</v>
      </c>
      <c r="Y18" s="399" t="n">
        <v>1557426.69</v>
      </c>
      <c r="Z18" s="399" t="n">
        <v>2453634.53</v>
      </c>
      <c r="AA18" s="399" t="n">
        <v>2048866.16</v>
      </c>
      <c r="AB18" s="399" t="n">
        <v>1396684.5</v>
      </c>
      <c r="AC18" s="399" t="n">
        <v>883896.92</v>
      </c>
      <c r="AD18" s="399" t="n">
        <v>1046686.92</v>
      </c>
      <c r="AE18" s="399" t="n">
        <v>982365.21</v>
      </c>
      <c r="AF18" s="399" t="n">
        <v>1214791.02</v>
      </c>
      <c r="AG18" s="399" t="n">
        <v>2109626.22</v>
      </c>
      <c r="AH18" s="399" t="n">
        <v>1957875.93</v>
      </c>
      <c r="AI18" s="399" t="n">
        <v>1914132.66</v>
      </c>
      <c r="AJ18" s="399" t="n">
        <v>1044319.92</v>
      </c>
      <c r="AK18" s="399" t="n">
        <v>866931.3</v>
      </c>
      <c r="AL18" s="399" t="n">
        <v>968436.51</v>
      </c>
      <c r="AM18" s="399" t="n">
        <v>1052717.22</v>
      </c>
      <c r="AN18" s="399" t="n">
        <v>283224.47</v>
      </c>
      <c r="AO18" s="399" t="n">
        <v>0</v>
      </c>
      <c r="AP18" s="399" t="n">
        <v>0</v>
      </c>
      <c r="AQ18" s="399" t="n">
        <v>0</v>
      </c>
      <c r="AR18" s="399" t="n">
        <v>0</v>
      </c>
      <c r="AS18" s="399" t="n">
        <v>0</v>
      </c>
      <c r="AT18" s="399" t="n">
        <v>0</v>
      </c>
      <c r="AU18" s="399" t="n">
        <v>0</v>
      </c>
      <c r="AV18" s="399" t="n">
        <v>0</v>
      </c>
      <c r="AW18" s="399" t="n">
        <v>0</v>
      </c>
      <c r="AX18" s="399" t="n">
        <v>0</v>
      </c>
      <c r="AY18" s="399" t="n">
        <v>0</v>
      </c>
      <c r="AZ18" s="399" t="n">
        <v>0</v>
      </c>
      <c r="BA18" s="399" t="n">
        <v>0</v>
      </c>
      <c r="BB18" s="399" t="n">
        <v>0</v>
      </c>
      <c r="BC18" s="399" t="n">
        <v>0</v>
      </c>
      <c r="BD18" s="399" t="n">
        <v>0</v>
      </c>
      <c r="BE18" s="399" t="n">
        <v>0</v>
      </c>
      <c r="BF18" s="399" t="n">
        <v>0</v>
      </c>
      <c r="BG18" s="399" t="n">
        <v>0</v>
      </c>
      <c r="BH18" s="399" t="n">
        <v>0</v>
      </c>
      <c r="BI18" s="399" t="n">
        <v>0</v>
      </c>
      <c r="BJ18" s="399" t="n">
        <v>0</v>
      </c>
      <c r="BK18" s="399" t="n">
        <v>0</v>
      </c>
      <c r="BL18" s="399" t="n">
        <v>0</v>
      </c>
      <c r="BM18" s="399" t="n">
        <v>0</v>
      </c>
      <c r="BN18" s="399" t="n">
        <v>0</v>
      </c>
      <c r="BO18" s="399" t="n">
        <v>0</v>
      </c>
      <c r="BP18" s="399" t="n">
        <v>0</v>
      </c>
      <c r="BQ18" s="399" t="n">
        <v>0</v>
      </c>
      <c r="BR18" s="399" t="n">
        <v>0</v>
      </c>
      <c r="BS18" s="399" t="n">
        <v>0</v>
      </c>
      <c r="BT18" s="399" t="n">
        <v>0</v>
      </c>
      <c r="BU18" s="399" t="n">
        <v>0</v>
      </c>
      <c r="BV18" s="399" t="n">
        <v>0</v>
      </c>
      <c r="BW18" s="399" t="n">
        <v>0</v>
      </c>
      <c r="BX18" s="399" t="n">
        <v>0</v>
      </c>
      <c r="BY18" s="399" t="n">
        <v>0</v>
      </c>
      <c r="BZ18" s="399" t="n">
        <v>0</v>
      </c>
      <c r="CA18" s="399" t="n">
        <v>0</v>
      </c>
      <c r="CB18" s="399" t="n">
        <v>0</v>
      </c>
      <c r="CC18" s="399" t="n">
        <v>0</v>
      </c>
      <c r="CD18" s="399" t="n">
        <v>0</v>
      </c>
      <c r="CE18" s="399" t="n">
        <v>0</v>
      </c>
      <c r="CF18" s="399" t="n">
        <v>0</v>
      </c>
      <c r="CG18" s="399" t="n">
        <v>0</v>
      </c>
      <c r="CH18" s="399" t="n">
        <v>0</v>
      </c>
      <c r="CI18" s="399" t="n">
        <v>0</v>
      </c>
      <c r="CJ18" s="399" t="n">
        <v>0</v>
      </c>
      <c r="CK18" s="399" t="n">
        <v>0</v>
      </c>
      <c r="CL18" s="399" t="n">
        <v>0</v>
      </c>
      <c r="CM18" s="399" t="n">
        <v>0</v>
      </c>
      <c r="CN18" s="399" t="n">
        <v>0</v>
      </c>
      <c r="CO18" s="399" t="n">
        <v>0</v>
      </c>
      <c r="CP18" s="399" t="n">
        <v>0</v>
      </c>
      <c r="CQ18" s="399" t="n">
        <v>0</v>
      </c>
      <c r="CR18" s="399" t="n">
        <v>0</v>
      </c>
      <c r="CS18" s="399" t="n">
        <v>0</v>
      </c>
      <c r="CT18" s="399" t="n">
        <v>0</v>
      </c>
      <c r="CU18" s="399" t="n">
        <v>0</v>
      </c>
      <c r="CV18" s="399" t="n">
        <v>0</v>
      </c>
      <c r="CW18" s="399" t="n">
        <v>0</v>
      </c>
      <c r="CX18" s="399" t="n">
        <v>0</v>
      </c>
      <c r="CY18" s="399" t="n">
        <v>0</v>
      </c>
      <c r="CZ18" s="399" t="n">
        <v>0</v>
      </c>
      <c r="DA18" s="399" t="n">
        <v>0</v>
      </c>
      <c r="DB18" s="399" t="n">
        <v>0</v>
      </c>
      <c r="DC18" s="399" t="n">
        <v>0</v>
      </c>
      <c r="DD18" s="399" t="n">
        <v>0</v>
      </c>
      <c r="DE18" s="399" t="n">
        <v>0</v>
      </c>
    </row>
    <row r="19" hidden="1" outlineLevel="1" ht="15" customFormat="1" customHeight="1" s="380">
      <c r="A19" s="407" t="inlineStr">
        <is>
          <t>Lexington</t>
        </is>
      </c>
      <c r="B19" s="399" t="n">
        <v>0</v>
      </c>
      <c r="C19" s="399" t="n">
        <v>0</v>
      </c>
      <c r="D19" s="399" t="n">
        <v>0</v>
      </c>
      <c r="E19" s="399" t="n">
        <v>0</v>
      </c>
      <c r="F19" s="399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399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399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399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399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399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399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399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399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399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399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399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399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399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399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399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399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399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399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399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399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399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399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399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399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399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399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399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399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399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399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399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399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399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399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399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399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399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399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399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399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399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399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399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399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399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399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399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399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399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399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399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399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399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399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399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399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399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399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399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399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399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399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399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399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399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399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399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399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399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399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399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399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399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399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399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399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399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399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399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399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399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399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399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399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399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399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399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399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399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399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399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399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399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399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399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399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399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399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399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399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399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399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399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Format="1" customHeight="1" s="380">
      <c r="A20" s="407" t="inlineStr">
        <is>
          <t>Denny</t>
        </is>
      </c>
      <c r="B20" s="399" t="n">
        <v>0</v>
      </c>
      <c r="C20" s="399" t="n">
        <v>0</v>
      </c>
      <c r="D20" s="399" t="n">
        <v>0</v>
      </c>
      <c r="E20" s="399" t="n">
        <v>0</v>
      </c>
      <c r="F20" s="399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399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399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399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399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399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399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399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399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399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399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399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399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399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399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399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399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399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399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399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399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399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399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399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399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399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399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399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399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399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399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399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399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399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399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399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399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399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399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399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399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399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399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399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399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399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399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399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399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399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399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399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399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399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399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399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399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399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399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399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399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399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399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399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399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399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399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399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399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399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399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399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399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399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399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399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399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399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399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399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399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399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399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399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399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399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399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399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399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399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399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399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399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399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399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399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399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399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399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399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399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399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399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399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Format="1" customHeight="1" s="380">
      <c r="A21" s="407" t="inlineStr">
        <is>
          <t>Acama</t>
        </is>
      </c>
      <c r="B21" s="399" t="n">
        <v>0</v>
      </c>
      <c r="C21" s="399" t="n">
        <v>0</v>
      </c>
      <c r="D21" s="399" t="n">
        <v>0</v>
      </c>
      <c r="E21" s="399" t="n">
        <v>0</v>
      </c>
      <c r="F21" s="399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399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399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399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399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399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399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399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399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399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399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399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399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399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399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399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399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399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399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399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399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399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399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399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399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399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399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399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399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399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399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399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399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399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399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399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399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399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399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399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399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399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399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399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399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399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399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399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399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399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399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399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399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399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399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399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399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399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399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399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399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399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399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399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399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399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399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399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399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399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399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399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399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399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399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399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399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399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399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399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399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399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399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399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399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399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399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399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399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399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399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399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399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399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399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399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399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399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399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399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399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399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399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399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Format="1" customHeight="1" s="380">
      <c r="A22" s="407" t="inlineStr">
        <is>
          <t>Klump</t>
        </is>
      </c>
      <c r="B22" s="399" t="n">
        <v>0</v>
      </c>
      <c r="C22" s="399" t="n">
        <v>0</v>
      </c>
      <c r="D22" s="399" t="n">
        <v>0</v>
      </c>
      <c r="E22" s="399" t="n">
        <v>0</v>
      </c>
      <c r="F22" s="399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399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399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399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399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399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399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399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399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399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399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399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399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399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399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399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399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399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399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399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399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399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399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399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399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399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399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399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399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399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399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399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399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399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399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399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399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399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399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399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399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399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399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399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399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399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399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399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399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399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399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399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399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399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399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399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399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399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399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399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399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399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399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399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399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399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399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399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399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399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399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399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399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399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399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399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399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399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399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399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399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399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399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399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399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399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399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399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399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399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399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399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399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399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399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399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399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399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399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399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399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399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399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399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Format="1" customHeight="1" s="380">
      <c r="A23" s="407" t="inlineStr">
        <is>
          <t>Scott</t>
        </is>
      </c>
      <c r="B23" s="399" t="n">
        <v>0</v>
      </c>
      <c r="C23" s="399" t="n">
        <v>0</v>
      </c>
      <c r="D23" s="399" t="n">
        <v>0</v>
      </c>
      <c r="E23" s="399" t="n">
        <v>0</v>
      </c>
      <c r="F23" s="399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399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399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399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399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399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399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399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399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399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399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399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399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399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399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399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399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399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399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399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399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399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399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399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399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399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399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399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399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399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399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399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399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399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399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399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399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399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399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399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399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399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399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399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399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399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399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399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399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399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399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399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399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399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399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399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399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399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399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399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399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399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399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399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399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399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399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399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399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399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399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399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399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399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399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399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399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399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399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399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399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399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399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399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399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399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399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399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399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399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399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399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399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399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399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399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399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399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399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399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399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399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399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399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Format="1" customHeight="1" s="380">
      <c r="A24" s="407" t="inlineStr">
        <is>
          <t>Reseda</t>
        </is>
      </c>
      <c r="B24" s="399" t="n">
        <v>0</v>
      </c>
      <c r="C24" s="399" t="n">
        <v>0</v>
      </c>
      <c r="D24" s="399" t="n">
        <v>0</v>
      </c>
      <c r="E24" s="399" t="n">
        <v>0</v>
      </c>
      <c r="F24" s="399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399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399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399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399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399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399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399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399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399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399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399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399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399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399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399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399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399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399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399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399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399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399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399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399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399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399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399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399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399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399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399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399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399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399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399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399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399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399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399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399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399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399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399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399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399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399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399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399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399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399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399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399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399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399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399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399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399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399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399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399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399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399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399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399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399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399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399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399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399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399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399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399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399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399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399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399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399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399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399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399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399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399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399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399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399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399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399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399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399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399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399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399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399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399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399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399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399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399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399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399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399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399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399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Format="1" customHeight="1" s="380">
      <c r="A25" s="407" t="inlineStr">
        <is>
          <t>3rd St</t>
        </is>
      </c>
      <c r="B25" s="399" t="n">
        <v>0</v>
      </c>
      <c r="C25" s="399" t="n">
        <v>0</v>
      </c>
      <c r="D25" s="399" t="n">
        <v>0</v>
      </c>
      <c r="E25" s="399" t="n">
        <v>0</v>
      </c>
      <c r="F25" s="399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399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399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399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399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399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399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399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399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399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399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399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399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399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399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399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399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399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399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399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399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399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399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399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399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399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399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399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399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399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399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399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399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399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399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399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399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399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399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399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399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399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399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399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399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399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399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399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399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399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399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399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399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399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399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399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399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399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399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399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399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399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399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399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399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399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399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399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399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399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399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399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399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399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399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399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399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399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399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399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399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399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399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399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399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399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399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399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399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399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399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399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399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399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399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399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399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399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399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399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399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399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399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399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Format="1" customHeight="1" s="380">
      <c r="A26" s="407" t="inlineStr">
        <is>
          <t>Dickens</t>
        </is>
      </c>
      <c r="B26" s="399" t="n">
        <v>0</v>
      </c>
      <c r="C26" s="399" t="n">
        <v>0</v>
      </c>
      <c r="D26" s="399" t="n">
        <v>0</v>
      </c>
      <c r="E26" s="399" t="n">
        <v>0</v>
      </c>
      <c r="F26" s="399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399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399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399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399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399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399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399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399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399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399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399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399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399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399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399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399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399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399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399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399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399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399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399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399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399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399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399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399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399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399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399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399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399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399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399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399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399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399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399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399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399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399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399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399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399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399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399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399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399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399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399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399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399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399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399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399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399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399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399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399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399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399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399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399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399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399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399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399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399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399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399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399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399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399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399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399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399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399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399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399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399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399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399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399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399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399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399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399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399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399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399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399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399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399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399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399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399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399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399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399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399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399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399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Format="1" customHeight="1" s="380">
      <c r="A27" s="407" t="inlineStr">
        <is>
          <t>Riverton</t>
        </is>
      </c>
      <c r="B27" s="399" t="n">
        <v>0</v>
      </c>
      <c r="C27" s="399" t="n">
        <v>0</v>
      </c>
      <c r="D27" s="399" t="n">
        <v>0</v>
      </c>
      <c r="E27" s="399" t="n">
        <v>0</v>
      </c>
      <c r="F27" s="399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399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399" t="n">
        <v>143035</v>
      </c>
      <c r="I27" s="399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399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399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399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399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399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399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399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399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399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399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399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399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399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399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399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399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399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399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399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399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399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399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399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399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399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399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399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399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399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399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399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399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399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399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399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399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399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399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399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399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399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399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399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399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399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399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399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399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399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399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399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399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399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399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399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399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399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399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399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399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399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399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399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399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399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399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399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399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399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399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399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399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399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399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399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399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399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399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399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399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399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399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399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399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399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399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399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399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399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399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399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399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399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399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399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399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399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399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399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399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Format="1" customHeight="1" s="380">
      <c r="A28" s="407" t="inlineStr">
        <is>
          <t>Moorpark</t>
        </is>
      </c>
      <c r="B28" s="399" t="n">
        <v>0</v>
      </c>
      <c r="C28" s="399" t="n">
        <v>0</v>
      </c>
      <c r="D28" s="399" t="n">
        <v>0</v>
      </c>
      <c r="E28" s="399" t="n">
        <v>0</v>
      </c>
      <c r="F28" s="399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399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399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399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399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399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399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399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399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399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399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399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399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399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399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399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399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399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399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399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399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399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399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399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399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399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399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399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399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399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399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399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399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399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399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399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399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399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399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399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399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399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399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399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399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399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399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399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399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399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399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399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399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399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399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399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399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399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399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399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399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399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399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399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399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399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399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399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399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399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399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399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399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399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399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399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399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399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399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399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399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399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399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399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399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399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399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399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399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399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399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399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399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399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399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399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399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399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399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399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399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399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399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399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Format="1" customHeight="1" s="380">
      <c r="A29" s="407" t="inlineStr">
        <is>
          <t>Beverly (BD-04)</t>
        </is>
      </c>
      <c r="B29" s="399" t="n">
        <v>0</v>
      </c>
      <c r="C29" s="399" t="n">
        <v>0</v>
      </c>
      <c r="D29" s="399" t="n">
        <v>0</v>
      </c>
      <c r="E29" s="399" t="n">
        <v>0</v>
      </c>
      <c r="F29" s="399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399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399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399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399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399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399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399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399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399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399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399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399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399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399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399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399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399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399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399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399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399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399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399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399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399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399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399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399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399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399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399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399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399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399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399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399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399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399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399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399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399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399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399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399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399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399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399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399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399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399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399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399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399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399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399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399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399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399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399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399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399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399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399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399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399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399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399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399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399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399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399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399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399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399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399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399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399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399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399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399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399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399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399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399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399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399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399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399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399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399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399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399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399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399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399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399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399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399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399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399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399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399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399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Format="1" customHeight="1" s="380">
      <c r="A30" s="407" t="inlineStr">
        <is>
          <t>Troost</t>
        </is>
      </c>
      <c r="B30" s="399" t="n">
        <v>0</v>
      </c>
      <c r="C30" s="399" t="n">
        <v>0</v>
      </c>
      <c r="D30" s="399" t="n">
        <v>0</v>
      </c>
      <c r="E30" s="399" t="n">
        <v>0</v>
      </c>
      <c r="F30" s="399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399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399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399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399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399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399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399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399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399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399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399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399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399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399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399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399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399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399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399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399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399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399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399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399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399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399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399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399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399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399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399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399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399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399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399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399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399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399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399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399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399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399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399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399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399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399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399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399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399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399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399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399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399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399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399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399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399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399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399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399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399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399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399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399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399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399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399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399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399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399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399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399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399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399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399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399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399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399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399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399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399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399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399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399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399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399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399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399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399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399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399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399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399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399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399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399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399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399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399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399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399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399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399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Format="1" customHeight="1" s="380">
      <c r="A31" s="407" t="inlineStr">
        <is>
          <t>BD-06</t>
        </is>
      </c>
      <c r="B31" s="399" t="n">
        <v>0</v>
      </c>
      <c r="C31" s="399" t="n">
        <v>0</v>
      </c>
      <c r="D31" s="399" t="n">
        <v>0</v>
      </c>
      <c r="E31" s="399" t="n">
        <v>0</v>
      </c>
      <c r="F31" s="399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399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399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399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399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399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399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399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399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399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399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399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399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399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399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399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399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399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399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399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399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399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399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399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399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399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399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399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399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399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399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399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399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399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399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399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399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399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399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399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399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399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399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399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399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399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399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399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399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399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399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399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399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399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399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399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399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399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399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399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399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399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399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399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399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399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399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399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399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399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399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399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399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399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399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399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399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399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399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399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399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399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399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399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399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399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399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399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399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399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399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399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399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399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399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399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399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399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399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399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399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399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399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399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Format="1" customHeight="1" s="380">
      <c r="A32" s="407" t="inlineStr">
        <is>
          <t>BD-07</t>
        </is>
      </c>
      <c r="B32" s="399" t="n">
        <v>0</v>
      </c>
      <c r="C32" s="399" t="n">
        <v>0</v>
      </c>
      <c r="D32" s="399" t="n">
        <v>0</v>
      </c>
      <c r="E32" s="399" t="n">
        <v>0</v>
      </c>
      <c r="F32" s="399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399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399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399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399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399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399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399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399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399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399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399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399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399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399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399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399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399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399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399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399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399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399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399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399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399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399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399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399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399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399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399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399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399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399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399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399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399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399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399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399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399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399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399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399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399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399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399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399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399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399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399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399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399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399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399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399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399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399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399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399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399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399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399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399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399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399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399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399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399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399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399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399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399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399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399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399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399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399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399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399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399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399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399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399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399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399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399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399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399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399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399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399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399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399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399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399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399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399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399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399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399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399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399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Format="1" customHeight="1" s="380">
      <c r="A33" s="407" t="inlineStr">
        <is>
          <t>BD-08</t>
        </is>
      </c>
      <c r="B33" s="399" t="n">
        <v>0</v>
      </c>
      <c r="C33" s="399" t="n">
        <v>0</v>
      </c>
      <c r="D33" s="399" t="n">
        <v>0</v>
      </c>
      <c r="E33" s="399" t="n">
        <v>0</v>
      </c>
      <c r="F33" s="399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399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399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399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399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399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399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399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399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399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399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399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399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399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399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399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399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399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399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399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399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399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399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399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399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399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399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399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399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399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399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399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399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399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399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399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399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399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399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399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399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399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399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399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399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399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399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399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399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399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399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399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399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399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399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399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399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399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399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399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399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399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399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399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399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399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399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399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399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399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399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399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399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399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399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399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399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399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399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399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399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399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399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399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399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399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399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399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399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399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399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399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399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399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399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399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399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399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399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399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399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399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399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399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Format="1" customHeight="1" s="380">
      <c r="A34" s="407" t="inlineStr">
        <is>
          <t>BD-09</t>
        </is>
      </c>
      <c r="B34" s="399" t="n">
        <v>0</v>
      </c>
      <c r="C34" s="399" t="n">
        <v>0</v>
      </c>
      <c r="D34" s="399" t="n">
        <v>0</v>
      </c>
      <c r="E34" s="399" t="n">
        <v>0</v>
      </c>
      <c r="F34" s="399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399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399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399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399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399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399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399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399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399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399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399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399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399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399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399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399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399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399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399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399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399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399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399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399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399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399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399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399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399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399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399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399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399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399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399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399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399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399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399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399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399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399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399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399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399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399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399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399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399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399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399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399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399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399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399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399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399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399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399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399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399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399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399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399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399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399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399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399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399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399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399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399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399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399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399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399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399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399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399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399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399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399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399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399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399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399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399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399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399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399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399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399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399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399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399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399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399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399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399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399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399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399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399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Format="1" customHeight="1" s="380">
      <c r="A35" s="407" t="inlineStr">
        <is>
          <t>BD-10</t>
        </is>
      </c>
      <c r="B35" s="399" t="n">
        <v>0</v>
      </c>
      <c r="C35" s="399" t="n">
        <v>0</v>
      </c>
      <c r="D35" s="399" t="n">
        <v>0</v>
      </c>
      <c r="E35" s="399" t="n">
        <v>0</v>
      </c>
      <c r="F35" s="399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399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399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399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399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399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399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399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399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399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399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399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399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399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399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399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399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399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399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399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399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399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399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399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399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399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399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399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399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399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399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399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399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399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399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399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399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399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399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399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399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399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399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399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399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399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399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399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399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399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399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399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399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399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399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399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399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399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399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399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399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399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399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399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399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399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399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399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399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399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399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399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399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399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399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399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399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399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399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399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399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399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399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399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399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399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399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399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399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399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399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399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399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399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399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399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399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399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399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399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399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399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399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399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Format="1" customHeight="1" s="380">
      <c r="A36" s="407" t="inlineStr">
        <is>
          <t>BD-11</t>
        </is>
      </c>
      <c r="B36" s="399" t="n">
        <v>0</v>
      </c>
      <c r="C36" s="399" t="n">
        <v>0</v>
      </c>
      <c r="D36" s="399" t="n">
        <v>0</v>
      </c>
      <c r="E36" s="399" t="n">
        <v>0</v>
      </c>
      <c r="F36" s="399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399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399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399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399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399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399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399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399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399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399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399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399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399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399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399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399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399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399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399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399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399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399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399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399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399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399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399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399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399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399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399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399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399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399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399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399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399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399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399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399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399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399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399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399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399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399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399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399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399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399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399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399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399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399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399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399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399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399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399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399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399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399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399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399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399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399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399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399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399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399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399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399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399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399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399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399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399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399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399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399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399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399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399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399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399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399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399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399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399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399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399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399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399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399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399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399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399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399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399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399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399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399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399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Format="1" customHeight="1" s="380">
      <c r="A37" s="407" t="inlineStr">
        <is>
          <t>BD-12</t>
        </is>
      </c>
      <c r="B37" s="399" t="n">
        <v>0</v>
      </c>
      <c r="C37" s="399" t="n">
        <v>0</v>
      </c>
      <c r="D37" s="399" t="n">
        <v>0</v>
      </c>
      <c r="E37" s="399" t="n">
        <v>0</v>
      </c>
      <c r="F37" s="399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399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399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399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399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399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399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399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399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399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399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399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399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399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399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399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399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399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399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399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399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399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399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399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399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399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399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399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399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399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399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399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399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399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399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399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399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399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399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399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399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399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399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399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399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399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399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399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399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399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399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399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399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399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399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399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399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399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399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399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399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399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399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399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399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399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399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399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399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399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399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399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399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399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399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399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399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399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399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399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399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399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399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399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399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399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399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399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399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399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399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399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399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399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399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399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399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399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399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399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399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399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399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399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Format="1" customHeight="1" s="380">
      <c r="A38" s="407" t="inlineStr">
        <is>
          <t>BD-13</t>
        </is>
      </c>
      <c r="B38" s="399" t="n">
        <v>0</v>
      </c>
      <c r="C38" s="399" t="n">
        <v>0</v>
      </c>
      <c r="D38" s="399" t="n">
        <v>0</v>
      </c>
      <c r="E38" s="399" t="n">
        <v>0</v>
      </c>
      <c r="F38" s="399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399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399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399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399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399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399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399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399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399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399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399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399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399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399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399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399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399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399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399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399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399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399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399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399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399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399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399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399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399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399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399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399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399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399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399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399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399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399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399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399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399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399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399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399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399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399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399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399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399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399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399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399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399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399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399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399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399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399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399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399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399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399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399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399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399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399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399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399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399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399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399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399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399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399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399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399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399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399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399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399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399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399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399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399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399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399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399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399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399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399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399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399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399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399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399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399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399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399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399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399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399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399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399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Format="1" customHeight="1" s="380">
      <c r="A39" s="407" t="inlineStr">
        <is>
          <t>BD-14</t>
        </is>
      </c>
      <c r="B39" s="399" t="n">
        <v>0</v>
      </c>
      <c r="C39" s="399" t="n">
        <v>0</v>
      </c>
      <c r="D39" s="399" t="n">
        <v>0</v>
      </c>
      <c r="E39" s="399" t="n">
        <v>0</v>
      </c>
      <c r="F39" s="399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399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399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399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399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399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399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399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399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399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399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399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399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399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399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399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399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399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399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399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399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399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399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399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399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399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399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399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399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399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399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399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399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399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399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399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399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399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399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399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399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399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399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399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399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399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399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399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399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399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399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399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399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399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399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399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399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399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399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399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399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399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399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399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399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399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399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399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399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399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399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399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399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399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399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399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399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399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399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399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399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399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399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399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399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399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399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399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399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399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399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399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399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399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399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399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399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399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399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399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399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399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399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399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Format="1" customHeight="1" s="380">
      <c r="A40" s="407" t="inlineStr">
        <is>
          <t>BD-15</t>
        </is>
      </c>
      <c r="B40" s="399" t="n">
        <v>0</v>
      </c>
      <c r="C40" s="399" t="n">
        <v>0</v>
      </c>
      <c r="D40" s="399" t="n">
        <v>0</v>
      </c>
      <c r="E40" s="399" t="n">
        <v>0</v>
      </c>
      <c r="F40" s="399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399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399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399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399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399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399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399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399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399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399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399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399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399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399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399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399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399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399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399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399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399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399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399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399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399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399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399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399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399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399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399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399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399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399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399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399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399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399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399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399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399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399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399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399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399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399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399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399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399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399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399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399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399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399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399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399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399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399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399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399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399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399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399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399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399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399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399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399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399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399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399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399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399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399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399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399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399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399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399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399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399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399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399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399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399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399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399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399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399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399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399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399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399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399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399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399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399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399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399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399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399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399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399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Format="1" customHeight="1" s="380">
      <c r="A41" s="407" t="inlineStr">
        <is>
          <t>BD-16</t>
        </is>
      </c>
      <c r="B41" s="399" t="n">
        <v>0</v>
      </c>
      <c r="C41" s="399" t="n">
        <v>0</v>
      </c>
      <c r="D41" s="399" t="n">
        <v>0</v>
      </c>
      <c r="E41" s="399" t="n">
        <v>0</v>
      </c>
      <c r="F41" s="399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399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399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399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399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399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399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399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399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399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399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399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399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399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399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399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399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399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399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399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399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399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399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399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399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399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399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399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399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399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399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399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399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399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399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399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399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399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399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399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399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399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399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399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399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399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399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399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399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399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399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399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399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399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399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399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399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399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399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399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399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399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399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399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399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399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399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399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399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399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399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399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399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399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399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399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399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399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399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399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399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399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399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399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399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399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399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399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399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399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399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399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399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399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399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399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399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399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399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399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399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399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399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399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Format="1" customHeight="1" s="380">
      <c r="A42" s="407" t="inlineStr">
        <is>
          <t>BD-17</t>
        </is>
      </c>
      <c r="B42" s="399" t="n">
        <v>0</v>
      </c>
      <c r="C42" s="399" t="n">
        <v>0</v>
      </c>
      <c r="D42" s="399" t="n">
        <v>0</v>
      </c>
      <c r="E42" s="399" t="n">
        <v>0</v>
      </c>
      <c r="F42" s="399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399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399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399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399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399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399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399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399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399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399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399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399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399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399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399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399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399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399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399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399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399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399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399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399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399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399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399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399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399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399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399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399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399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399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399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399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399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399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399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399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399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399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399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399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399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399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399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399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399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399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399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399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399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399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399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399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399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399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399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399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399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399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399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399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399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399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399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399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399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399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399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399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399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399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399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399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399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399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399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399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399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399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399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399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399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399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399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399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399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399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399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399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399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399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399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399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399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399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399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399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399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399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399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Format="1" customHeight="1" s="380">
      <c r="A43" s="407" t="inlineStr">
        <is>
          <t>BD-18</t>
        </is>
      </c>
      <c r="B43" s="399" t="n">
        <v>0</v>
      </c>
      <c r="C43" s="399" t="n">
        <v>0</v>
      </c>
      <c r="D43" s="399" t="n">
        <v>0</v>
      </c>
      <c r="E43" s="399" t="n">
        <v>0</v>
      </c>
      <c r="F43" s="399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399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399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399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399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399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399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399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399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399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399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399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399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399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399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399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399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399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399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399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399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399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399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399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399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399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399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399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399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399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399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399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399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399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399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399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399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399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399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399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399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399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399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399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399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399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399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399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399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399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399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399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399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399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399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399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399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399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399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399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399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399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399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399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399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399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399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399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399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399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399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399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399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399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399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399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399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399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399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399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399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399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399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399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399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399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399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399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399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399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399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399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399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399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399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399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399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399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399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399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399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399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399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399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Format="1" customHeight="1" s="380">
      <c r="A44" s="407" t="inlineStr">
        <is>
          <t>BD-19</t>
        </is>
      </c>
      <c r="B44" s="399" t="n">
        <v>0</v>
      </c>
      <c r="C44" s="399" t="n">
        <v>0</v>
      </c>
      <c r="D44" s="399" t="n">
        <v>0</v>
      </c>
      <c r="E44" s="399" t="n">
        <v>0</v>
      </c>
      <c r="F44" s="399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399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399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399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399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399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399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399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399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399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399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399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399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399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399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399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399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399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399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399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399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399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399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399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399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399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399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399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399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399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399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399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399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399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399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399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399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399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399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399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399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399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399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399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399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399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399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399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399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399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399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399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399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399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399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399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399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399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399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399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399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399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399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399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399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399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399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399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399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399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399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399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399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399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399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399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399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399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399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399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399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399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399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399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399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399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399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399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399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399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399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399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399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399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399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399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399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399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399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399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399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399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399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399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Format="1" customHeight="1" s="380">
      <c r="A45" s="407" t="inlineStr">
        <is>
          <t>BD-20</t>
        </is>
      </c>
      <c r="B45" s="399" t="n">
        <v>0</v>
      </c>
      <c r="C45" s="399" t="n">
        <v>0</v>
      </c>
      <c r="D45" s="399" t="n">
        <v>0</v>
      </c>
      <c r="E45" s="399" t="n">
        <v>0</v>
      </c>
      <c r="F45" s="399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399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399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399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399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399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399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399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399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399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399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399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399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399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399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399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399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399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399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399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399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399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399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399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399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399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399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399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399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399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399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399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399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399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399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399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399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399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399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399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399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399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399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399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399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399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399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399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399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399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399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399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399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399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399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399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399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399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399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399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399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399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399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399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399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399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399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399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399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399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399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399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399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399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399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399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399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399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399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399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399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399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399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399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399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399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399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399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399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399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399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399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399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399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399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399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399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399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399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399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399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399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399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399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Format="1" customHeight="1" s="380">
      <c r="A46" s="407" t="inlineStr">
        <is>
          <t>BD-21</t>
        </is>
      </c>
      <c r="B46" s="399" t="n">
        <v>0</v>
      </c>
      <c r="C46" s="399" t="n">
        <v>0</v>
      </c>
      <c r="D46" s="399" t="n">
        <v>0</v>
      </c>
      <c r="E46" s="399" t="n">
        <v>0</v>
      </c>
      <c r="F46" s="399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399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399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399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399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399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399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399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399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399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399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399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399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399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399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399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399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399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399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399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399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399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399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399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399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399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399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399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399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399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399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399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399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399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399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399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399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399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399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399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399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399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399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399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399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399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399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399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399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399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399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399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399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399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399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399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399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399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399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399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399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399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399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399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399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399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399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399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399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399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399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399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399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399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399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399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399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399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399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399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399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399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399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399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399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399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399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399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399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399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399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399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399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399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399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399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399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399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399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399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399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399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399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Format="1" customHeight="1" s="380">
      <c r="A47" s="407" t="inlineStr">
        <is>
          <t>BD-22</t>
        </is>
      </c>
      <c r="B47" s="399" t="n">
        <v>0</v>
      </c>
      <c r="C47" s="399" t="n">
        <v>0</v>
      </c>
      <c r="D47" s="399" t="n">
        <v>0</v>
      </c>
      <c r="E47" s="399" t="n">
        <v>0</v>
      </c>
      <c r="F47" s="399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399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399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399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399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399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399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399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399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399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399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399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399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399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399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399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399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399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399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399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399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399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399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399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399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399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399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399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399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399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399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399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399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399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399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399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399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399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399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399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399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399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399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399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399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399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399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399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399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399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399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399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399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399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399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399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399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399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399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399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399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399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399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399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399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399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399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399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399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399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399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399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399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399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399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399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399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399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399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399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399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399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399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399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399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399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399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399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399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399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399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399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399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399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399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399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399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399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399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399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399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399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399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399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Format="1" customHeight="1" s="380">
      <c r="A48" s="407" t="inlineStr">
        <is>
          <t>BD-23</t>
        </is>
      </c>
      <c r="B48" s="399" t="n">
        <v>0</v>
      </c>
      <c r="C48" s="399" t="n">
        <v>0</v>
      </c>
      <c r="D48" s="399" t="n">
        <v>0</v>
      </c>
      <c r="E48" s="399" t="n">
        <v>0</v>
      </c>
      <c r="F48" s="399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399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399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399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399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399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399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399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399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399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399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399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399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399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399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399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399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399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399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399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399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399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399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399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399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399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399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399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399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399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399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399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399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399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399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399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399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399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399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399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399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399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399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399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399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399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399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399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399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399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399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399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399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399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399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399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399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399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399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399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399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399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399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399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399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399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399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399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399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399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399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399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399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399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399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399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399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399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399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399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399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399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399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399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399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399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399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399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399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399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399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399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399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399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399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399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399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399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399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399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399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399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399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399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Format="1" customHeight="1" s="380">
      <c r="A49" s="407" t="inlineStr">
        <is>
          <t>BD-24</t>
        </is>
      </c>
      <c r="B49" s="399" t="n">
        <v>0</v>
      </c>
      <c r="C49" s="399" t="n">
        <v>0</v>
      </c>
      <c r="D49" s="399" t="n">
        <v>0</v>
      </c>
      <c r="E49" s="399" t="n">
        <v>0</v>
      </c>
      <c r="F49" s="399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399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399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399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399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399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399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399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399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399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399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399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399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399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399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399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399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399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399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399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399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399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399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399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399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399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399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399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399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399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399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399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399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399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399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399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399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399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399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399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399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399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399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399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399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399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399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399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399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399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399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399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399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399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399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399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399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399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399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399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399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399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399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399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399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399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399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399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399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399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399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399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399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399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399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399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399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399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399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399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399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399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399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399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399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399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399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399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399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399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399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399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399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399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399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399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399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399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399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399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399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399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399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399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Format="1" customHeight="1" s="380">
      <c r="A50" s="407" t="inlineStr">
        <is>
          <t>BD-25</t>
        </is>
      </c>
      <c r="B50" s="399" t="n">
        <v>0</v>
      </c>
      <c r="C50" s="399" t="n">
        <v>0</v>
      </c>
      <c r="D50" s="399" t="n">
        <v>0</v>
      </c>
      <c r="E50" s="399" t="n">
        <v>0</v>
      </c>
      <c r="F50" s="399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399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399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399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399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399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399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399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399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399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399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399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399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399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399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399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399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399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399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399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399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399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399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399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399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399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399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399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399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399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399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399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399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399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399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399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399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399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399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399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399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399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399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399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399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399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399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399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399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399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399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399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399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399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399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399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399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399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399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399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399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399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399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399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399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399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399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399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399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399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399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399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399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399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399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399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399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399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399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399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399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399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399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399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399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399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399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399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399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399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399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399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399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399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399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399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399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399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399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399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399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399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399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399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Format="1" customHeight="1" s="380">
      <c r="A51" s="407" t="inlineStr">
        <is>
          <t>BD-26</t>
        </is>
      </c>
      <c r="B51" s="399" t="n">
        <v>0</v>
      </c>
      <c r="C51" s="399" t="n">
        <v>0</v>
      </c>
      <c r="D51" s="399" t="n">
        <v>0</v>
      </c>
      <c r="E51" s="399" t="n">
        <v>0</v>
      </c>
      <c r="F51" s="399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399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399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399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399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399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399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399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399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399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399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399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399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399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399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399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399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399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399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399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399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399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399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399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399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399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399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399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399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399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399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399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399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399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399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399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399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399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399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399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399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399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399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399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399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399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399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399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399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399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399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399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399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399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399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399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399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399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399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399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399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399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399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399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399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399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399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399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399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399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399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399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399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399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399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399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399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399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399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399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399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399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399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399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399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399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399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399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399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399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399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399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399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399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399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399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399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399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399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399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399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399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399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399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Format="1" customHeight="1" s="380">
      <c r="A52" s="407" t="inlineStr">
        <is>
          <t>BD-27</t>
        </is>
      </c>
      <c r="B52" s="399" t="n">
        <v>0</v>
      </c>
      <c r="C52" s="399" t="n">
        <v>0</v>
      </c>
      <c r="D52" s="399" t="n">
        <v>0</v>
      </c>
      <c r="E52" s="399" t="n">
        <v>0</v>
      </c>
      <c r="F52" s="399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399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399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399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399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399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399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399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399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399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399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399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399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399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399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399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399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399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399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399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399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399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399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399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399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399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399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399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399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399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399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399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399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399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399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399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399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399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399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399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399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399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399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399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399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399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399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399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399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399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399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399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399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399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399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399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399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399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399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399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399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399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399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399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399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399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399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399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399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399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399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399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399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399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399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399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399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399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399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399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399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399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399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399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399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399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399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399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399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399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399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399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399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399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399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399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399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399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399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399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399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399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399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399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Format="1" customHeight="1" s="380">
      <c r="A53" s="407" t="inlineStr">
        <is>
          <t>BD-28</t>
        </is>
      </c>
      <c r="B53" s="399" t="n">
        <v>0</v>
      </c>
      <c r="C53" s="399" t="n">
        <v>0</v>
      </c>
      <c r="D53" s="399" t="n">
        <v>0</v>
      </c>
      <c r="E53" s="399" t="n">
        <v>0</v>
      </c>
      <c r="F53" s="399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399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399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399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399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399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399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399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399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399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399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399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399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399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399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399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399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399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399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399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399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399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399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399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399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399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399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399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399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399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399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399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399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399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399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399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399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399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399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399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399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399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399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399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399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399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399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399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399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399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399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399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399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399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399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399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399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399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399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399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399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399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399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399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399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399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399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399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399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399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399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399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399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399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399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399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399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399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399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399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399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399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399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399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399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399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399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399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399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399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399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399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399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399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399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399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399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399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399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399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399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399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399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399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Format="1" customHeight="1" s="380">
      <c r="A54" s="407" t="inlineStr">
        <is>
          <t>BD-29</t>
        </is>
      </c>
      <c r="B54" s="399" t="n">
        <v>0</v>
      </c>
      <c r="C54" s="399" t="n">
        <v>0</v>
      </c>
      <c r="D54" s="399" t="n">
        <v>0</v>
      </c>
      <c r="E54" s="399" t="n">
        <v>0</v>
      </c>
      <c r="F54" s="399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399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399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399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399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399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399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399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399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399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399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399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399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399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399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399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399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399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399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399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399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399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399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399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399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399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399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399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399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399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399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399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399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399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399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399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399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399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399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399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399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399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399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399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399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399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399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399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399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399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399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399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399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399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399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399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399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399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399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399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399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399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399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399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399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399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399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399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399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399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399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399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399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399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399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399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399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399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399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399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399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399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399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399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399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399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399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399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399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399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399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399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399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399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399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399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399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399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399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399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399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399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399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399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Format="1" customHeight="1" s="380">
      <c r="A55" s="407" t="inlineStr">
        <is>
          <t>BD-30</t>
        </is>
      </c>
      <c r="B55" s="399" t="n">
        <v>0</v>
      </c>
      <c r="C55" s="399" t="n">
        <v>0</v>
      </c>
      <c r="D55" s="399" t="n">
        <v>0</v>
      </c>
      <c r="E55" s="399" t="n">
        <v>0</v>
      </c>
      <c r="F55" s="399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399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399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399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399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399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399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399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399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399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399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399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399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399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399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399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399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399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399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399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399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399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399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399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399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399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399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399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399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399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399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399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399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399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399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399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399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399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399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399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399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399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399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399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399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399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399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399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399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399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399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399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399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399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399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399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399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399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399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399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399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399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399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399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399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399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399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399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399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399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399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399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399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399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399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399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399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399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399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399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399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399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399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399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399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399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399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399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399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399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399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399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399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399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399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399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399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399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399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399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399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399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399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399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Format="1" customHeight="1" s="380">
      <c r="A56" s="407" t="inlineStr">
        <is>
          <t>Other (non-project)</t>
        </is>
      </c>
      <c r="B56" s="399" t="n">
        <v>0</v>
      </c>
      <c r="C56" s="399" t="n">
        <v>0</v>
      </c>
      <c r="D56" s="399" t="n">
        <v>0</v>
      </c>
      <c r="E56" s="399" t="n">
        <v>0</v>
      </c>
      <c r="F56" s="399" t="n">
        <v>0</v>
      </c>
      <c r="G56" s="399" t="n">
        <v>0</v>
      </c>
      <c r="H56" s="399" t="n">
        <v>0</v>
      </c>
      <c r="I56" s="399" t="n">
        <v>0</v>
      </c>
      <c r="J56" s="399" t="n">
        <v>0</v>
      </c>
      <c r="K56" s="399" t="n">
        <v>0</v>
      </c>
      <c r="L56" s="399" t="n">
        <v>0</v>
      </c>
      <c r="M56" s="399" t="n">
        <v>0</v>
      </c>
      <c r="N56" s="399" t="n">
        <v>0</v>
      </c>
      <c r="O56" s="399" t="n">
        <v>0</v>
      </c>
      <c r="P56" s="399" t="n">
        <v>0</v>
      </c>
      <c r="Q56" s="399" t="n">
        <v>0</v>
      </c>
      <c r="R56" s="399" t="n">
        <v>0</v>
      </c>
      <c r="S56" s="399" t="n">
        <v>0</v>
      </c>
      <c r="T56" s="399" t="n">
        <v>0</v>
      </c>
      <c r="U56" s="399" t="n">
        <v>0</v>
      </c>
      <c r="V56" s="399" t="n">
        <v>0</v>
      </c>
      <c r="W56" s="399" t="n">
        <v>0</v>
      </c>
      <c r="X56" s="399" t="n">
        <v>0</v>
      </c>
      <c r="Y56" s="399" t="n">
        <v>0</v>
      </c>
      <c r="Z56" s="399" t="n">
        <v>0</v>
      </c>
      <c r="AA56" s="399" t="n">
        <v>0</v>
      </c>
      <c r="AB56" s="399" t="n">
        <v>0</v>
      </c>
      <c r="AC56" s="399" t="n">
        <v>0</v>
      </c>
      <c r="AD56" s="399" t="n">
        <v>0</v>
      </c>
      <c r="AE56" s="399" t="n">
        <v>0</v>
      </c>
      <c r="AF56" s="399" t="n">
        <v>0</v>
      </c>
      <c r="AG56" s="399" t="n">
        <v>0</v>
      </c>
      <c r="AH56" s="399" t="n">
        <v>0</v>
      </c>
      <c r="AI56" s="399" t="n">
        <v>0</v>
      </c>
      <c r="AJ56" s="399" t="n">
        <v>0</v>
      </c>
      <c r="AK56" s="399" t="n">
        <v>0</v>
      </c>
      <c r="AL56" s="399" t="n">
        <v>0</v>
      </c>
      <c r="AM56" s="399" t="n">
        <v>0</v>
      </c>
      <c r="AN56" s="399" t="n">
        <v>0</v>
      </c>
      <c r="AO56" s="399" t="n">
        <v>0</v>
      </c>
      <c r="AP56" s="399" t="n">
        <v>0</v>
      </c>
      <c r="AQ56" s="399" t="n">
        <v>0</v>
      </c>
      <c r="AR56" s="399" t="n">
        <v>0</v>
      </c>
      <c r="AS56" s="399" t="n">
        <v>0</v>
      </c>
      <c r="AT56" s="399" t="n">
        <v>0</v>
      </c>
      <c r="AU56" s="399" t="n">
        <v>0</v>
      </c>
      <c r="AV56" s="399" t="n">
        <v>0</v>
      </c>
      <c r="AW56" s="399" t="n">
        <v>0</v>
      </c>
      <c r="AX56" s="399" t="n">
        <v>0</v>
      </c>
      <c r="AY56" s="399" t="n">
        <v>0</v>
      </c>
      <c r="AZ56" s="399" t="n">
        <v>0</v>
      </c>
      <c r="BA56" s="399" t="n">
        <v>0</v>
      </c>
      <c r="BB56" s="399" t="n">
        <v>0</v>
      </c>
      <c r="BC56" s="399" t="n">
        <v>0</v>
      </c>
      <c r="BD56" s="399" t="n">
        <v>0</v>
      </c>
      <c r="BE56" s="399" t="n">
        <v>0</v>
      </c>
      <c r="BF56" s="399" t="n">
        <v>0</v>
      </c>
      <c r="BG56" s="399" t="n">
        <v>0</v>
      </c>
      <c r="BH56" s="399" t="n">
        <v>0</v>
      </c>
      <c r="BI56" s="399" t="n">
        <v>0</v>
      </c>
      <c r="BJ56" s="399" t="n">
        <v>0</v>
      </c>
      <c r="BK56" s="399" t="n">
        <v>0</v>
      </c>
      <c r="BL56" s="399" t="n">
        <v>0</v>
      </c>
      <c r="BM56" s="399" t="n">
        <v>0</v>
      </c>
      <c r="BN56" s="399" t="n">
        <v>0</v>
      </c>
      <c r="BO56" s="399" t="n">
        <v>0</v>
      </c>
      <c r="BP56" s="399" t="n">
        <v>0</v>
      </c>
      <c r="BQ56" s="399" t="n">
        <v>0</v>
      </c>
      <c r="BR56" s="399" t="n">
        <v>0</v>
      </c>
      <c r="BS56" s="399" t="n">
        <v>0</v>
      </c>
      <c r="BT56" s="399" t="n">
        <v>0</v>
      </c>
      <c r="BU56" s="399" t="n">
        <v>0</v>
      </c>
      <c r="BV56" s="399" t="n">
        <v>0</v>
      </c>
      <c r="BW56" s="399" t="n">
        <v>0</v>
      </c>
      <c r="BX56" s="399" t="n">
        <v>0</v>
      </c>
      <c r="BY56" s="399" t="n">
        <v>0</v>
      </c>
      <c r="BZ56" s="399" t="n">
        <v>0</v>
      </c>
      <c r="CA56" s="399" t="n">
        <v>0</v>
      </c>
      <c r="CB56" s="399" t="n">
        <v>0</v>
      </c>
      <c r="CC56" s="399" t="n">
        <v>0</v>
      </c>
      <c r="CD56" s="399" t="n">
        <v>0</v>
      </c>
      <c r="CE56" s="399" t="n">
        <v>0</v>
      </c>
      <c r="CF56" s="399" t="n">
        <v>0</v>
      </c>
      <c r="CG56" s="399" t="n">
        <v>0</v>
      </c>
      <c r="CH56" s="399" t="n">
        <v>0</v>
      </c>
      <c r="CI56" s="399" t="n">
        <v>0</v>
      </c>
      <c r="CJ56" s="399" t="n">
        <v>0</v>
      </c>
      <c r="CK56" s="399" t="n">
        <v>0</v>
      </c>
      <c r="CL56" s="399" t="n">
        <v>0</v>
      </c>
      <c r="CM56" s="399" t="n">
        <v>0</v>
      </c>
      <c r="CN56" s="399" t="n">
        <v>0</v>
      </c>
      <c r="CO56" s="399" t="n">
        <v>0</v>
      </c>
      <c r="CP56" s="399" t="n">
        <v>0</v>
      </c>
      <c r="CQ56" s="399" t="n">
        <v>0</v>
      </c>
      <c r="CR56" s="399" t="n">
        <v>0</v>
      </c>
      <c r="CS56" s="399" t="n">
        <v>0</v>
      </c>
      <c r="CT56" s="399" t="n">
        <v>0</v>
      </c>
      <c r="CU56" s="399" t="n">
        <v>0</v>
      </c>
      <c r="CV56" s="399" t="n">
        <v>0</v>
      </c>
      <c r="CW56" s="399" t="n">
        <v>0</v>
      </c>
      <c r="CX56" s="399" t="n">
        <v>0</v>
      </c>
      <c r="CY56" s="399" t="n">
        <v>0</v>
      </c>
      <c r="CZ56" s="399" t="n">
        <v>0</v>
      </c>
      <c r="DA56" s="399" t="n">
        <v>0</v>
      </c>
      <c r="DB56" s="399" t="n">
        <v>0</v>
      </c>
      <c r="DC56" s="399" t="n">
        <v>0</v>
      </c>
      <c r="DD56" s="399" t="n">
        <v>0</v>
      </c>
      <c r="DE56" s="399" t="n">
        <v>0</v>
      </c>
    </row>
    <row r="57" collapsed="1" ht="15" customFormat="1" customHeight="1" s="380">
      <c r="A57" s="408" t="inlineStr">
        <is>
          <t>Total Trades and Site Cost Billing</t>
        </is>
      </c>
      <c r="B57" s="409">
        <f>SUM(B13:B56)</f>
        <v/>
      </c>
      <c r="C57" s="409">
        <f>SUM(C13:C56)</f>
        <v/>
      </c>
      <c r="D57" s="409">
        <f>SUM(D13:D56)</f>
        <v/>
      </c>
      <c r="E57" s="409">
        <f>SUM(E13:E56)</f>
        <v/>
      </c>
      <c r="F57" s="409">
        <f>SUM(F13:F56)</f>
        <v/>
      </c>
      <c r="G57" s="409">
        <f>SUM(G13:G56)</f>
        <v/>
      </c>
      <c r="H57" s="409">
        <f>SUM(H13:H56)</f>
        <v/>
      </c>
      <c r="I57" s="409">
        <f>SUM(I13:I56)</f>
        <v/>
      </c>
      <c r="J57" s="409">
        <f>SUM(J13:J56)</f>
        <v/>
      </c>
      <c r="K57" s="409">
        <f>SUM(K13:K56)</f>
        <v/>
      </c>
      <c r="L57" s="409">
        <f>SUM(L13:L56)</f>
        <v/>
      </c>
      <c r="M57" s="409">
        <f>SUM(M13:M56)</f>
        <v/>
      </c>
      <c r="N57" s="409">
        <f>SUM(N13:N56)</f>
        <v/>
      </c>
      <c r="O57" s="409">
        <f>SUM(O13:O56)</f>
        <v/>
      </c>
      <c r="P57" s="409">
        <f>SUM(P13:P56)</f>
        <v/>
      </c>
      <c r="Q57" s="409">
        <f>SUM(Q13:Q56)</f>
        <v/>
      </c>
      <c r="R57" s="409">
        <f>SUM(R13:R56)</f>
        <v/>
      </c>
      <c r="S57" s="409">
        <f>SUM(S13:S56)</f>
        <v/>
      </c>
      <c r="T57" s="409">
        <f>SUM(T13:T56)</f>
        <v/>
      </c>
      <c r="U57" s="409">
        <f>SUM(U13:U56)</f>
        <v/>
      </c>
      <c r="V57" s="409">
        <f>SUM(V13:V56)</f>
        <v/>
      </c>
      <c r="W57" s="409">
        <f>SUM(W13:W56)</f>
        <v/>
      </c>
      <c r="X57" s="409">
        <f>SUM(X13:X56)</f>
        <v/>
      </c>
      <c r="Y57" s="409">
        <f>SUM(Y13:Y56)</f>
        <v/>
      </c>
      <c r="Z57" s="409">
        <f>SUM(Z13:Z56)</f>
        <v/>
      </c>
      <c r="AA57" s="409">
        <f>SUM(AA13:AA56)</f>
        <v/>
      </c>
      <c r="AB57" s="409">
        <f>SUM(AB13:AB56)</f>
        <v/>
      </c>
      <c r="AC57" s="409">
        <f>SUM(AC13:AC56)</f>
        <v/>
      </c>
      <c r="AD57" s="409">
        <f>SUM(AD13:AD56)</f>
        <v/>
      </c>
      <c r="AE57" s="409">
        <f>SUM(AE13:AE56)</f>
        <v/>
      </c>
      <c r="AF57" s="409">
        <f>SUM(AF13:AF56)</f>
        <v/>
      </c>
      <c r="AG57" s="409">
        <f>SUM(AG13:AG56)</f>
        <v/>
      </c>
      <c r="AH57" s="409">
        <f>SUM(AH13:AH56)</f>
        <v/>
      </c>
      <c r="AI57" s="409">
        <f>SUM(AI13:AI56)</f>
        <v/>
      </c>
      <c r="AJ57" s="409">
        <f>SUM(AJ13:AJ56)</f>
        <v/>
      </c>
      <c r="AK57" s="409">
        <f>SUM(AK13:AK56)</f>
        <v/>
      </c>
      <c r="AL57" s="409">
        <f>SUM(AL13:AL56)</f>
        <v/>
      </c>
      <c r="AM57" s="409">
        <f>SUM(AM13:AM56)</f>
        <v/>
      </c>
      <c r="AN57" s="409">
        <f>SUM(AN13:AN56)</f>
        <v/>
      </c>
      <c r="AO57" s="409">
        <f>SUM(AO13:AO56)</f>
        <v/>
      </c>
      <c r="AP57" s="409">
        <f>SUM(AP13:AP56)</f>
        <v/>
      </c>
      <c r="AQ57" s="409">
        <f>SUM(AQ13:AQ56)</f>
        <v/>
      </c>
      <c r="AR57" s="409">
        <f>SUM(AR13:AR56)</f>
        <v/>
      </c>
      <c r="AS57" s="409">
        <f>SUM(AS13:AS56)</f>
        <v/>
      </c>
      <c r="AT57" s="409">
        <f>SUM(AT13:AT56)</f>
        <v/>
      </c>
      <c r="AU57" s="409">
        <f>SUM(AU13:AU56)</f>
        <v/>
      </c>
      <c r="AV57" s="409">
        <f>SUM(AV13:AV56)</f>
        <v/>
      </c>
      <c r="AW57" s="409">
        <f>SUM(AW13:AW56)</f>
        <v/>
      </c>
      <c r="AX57" s="409">
        <f>SUM(AX13:AX56)</f>
        <v/>
      </c>
      <c r="AY57" s="409">
        <f>SUM(AY13:AY56)</f>
        <v/>
      </c>
      <c r="AZ57" s="409">
        <f>SUM(AZ13:AZ56)</f>
        <v/>
      </c>
      <c r="BA57" s="409">
        <f>SUM(BA13:BA56)</f>
        <v/>
      </c>
      <c r="BB57" s="409">
        <f>SUM(BB13:BB56)</f>
        <v/>
      </c>
      <c r="BC57" s="409">
        <f>SUM(BC13:BC56)</f>
        <v/>
      </c>
      <c r="BD57" s="409">
        <f>SUM(BD13:BD56)</f>
        <v/>
      </c>
      <c r="BE57" s="409">
        <f>SUM(BE13:BE56)</f>
        <v/>
      </c>
      <c r="BF57" s="409">
        <f>SUM(BF13:BF56)</f>
        <v/>
      </c>
      <c r="BG57" s="409">
        <f>SUM(BG13:BG56)</f>
        <v/>
      </c>
      <c r="BH57" s="409">
        <f>SUM(BH13:BH56)</f>
        <v/>
      </c>
      <c r="BI57" s="409">
        <f>SUM(BI13:BI56)</f>
        <v/>
      </c>
      <c r="BJ57" s="409">
        <f>SUM(BJ13:BJ56)</f>
        <v/>
      </c>
      <c r="BK57" s="409">
        <f>SUM(BK13:BK56)</f>
        <v/>
      </c>
      <c r="BL57" s="409">
        <f>SUM(BL13:BL56)</f>
        <v/>
      </c>
      <c r="BM57" s="409">
        <f>SUM(BM13:BM56)</f>
        <v/>
      </c>
      <c r="BN57" s="409">
        <f>SUM(BN13:BN56)</f>
        <v/>
      </c>
      <c r="BO57" s="409">
        <f>SUM(BO13:BO56)</f>
        <v/>
      </c>
      <c r="BP57" s="409">
        <f>SUM(BP13:BP56)</f>
        <v/>
      </c>
      <c r="BQ57" s="409">
        <f>SUM(BQ13:BQ56)</f>
        <v/>
      </c>
      <c r="BR57" s="409">
        <f>SUM(BR13:BR56)</f>
        <v/>
      </c>
      <c r="BS57" s="409">
        <f>SUM(BS13:BS56)</f>
        <v/>
      </c>
      <c r="BT57" s="409">
        <f>SUM(BT13:BT56)</f>
        <v/>
      </c>
      <c r="BU57" s="409">
        <f>SUM(BU13:BU56)</f>
        <v/>
      </c>
      <c r="BV57" s="409">
        <f>SUM(BV13:BV56)</f>
        <v/>
      </c>
      <c r="BW57" s="409">
        <f>SUM(BW13:BW56)</f>
        <v/>
      </c>
      <c r="BX57" s="409">
        <f>SUM(BX13:BX56)</f>
        <v/>
      </c>
      <c r="BY57" s="409">
        <f>SUM(BY13:BY56)</f>
        <v/>
      </c>
      <c r="BZ57" s="409">
        <f>SUM(BZ13:BZ56)</f>
        <v/>
      </c>
      <c r="CA57" s="409">
        <f>SUM(CA13:CA56)</f>
        <v/>
      </c>
      <c r="CB57" s="409">
        <f>SUM(CB13:CB56)</f>
        <v/>
      </c>
      <c r="CC57" s="409">
        <f>SUM(CC13:CC56)</f>
        <v/>
      </c>
      <c r="CD57" s="409">
        <f>SUM(CD13:CD56)</f>
        <v/>
      </c>
      <c r="CE57" s="409">
        <f>SUM(CE13:CE56)</f>
        <v/>
      </c>
      <c r="CF57" s="409">
        <f>SUM(CF13:CF56)</f>
        <v/>
      </c>
      <c r="CG57" s="409">
        <f>SUM(CG13:CG56)</f>
        <v/>
      </c>
      <c r="CH57" s="409">
        <f>SUM(CH13:CH56)</f>
        <v/>
      </c>
      <c r="CI57" s="409">
        <f>SUM(CI13:CI56)</f>
        <v/>
      </c>
      <c r="CJ57" s="409">
        <f>SUM(CJ13:CJ56)</f>
        <v/>
      </c>
      <c r="CK57" s="409">
        <f>SUM(CK13:CK56)</f>
        <v/>
      </c>
      <c r="CL57" s="409">
        <f>SUM(CL13:CL56)</f>
        <v/>
      </c>
      <c r="CM57" s="409">
        <f>SUM(CM13:CM56)</f>
        <v/>
      </c>
      <c r="CN57" s="409">
        <f>SUM(CN13:CN56)</f>
        <v/>
      </c>
      <c r="CO57" s="409">
        <f>SUM(CO13:CO56)</f>
        <v/>
      </c>
      <c r="CP57" s="409">
        <f>SUM(CP13:CP56)</f>
        <v/>
      </c>
      <c r="CQ57" s="409">
        <f>SUM(CQ13:CQ56)</f>
        <v/>
      </c>
      <c r="CR57" s="409">
        <f>SUM(CR13:CR56)</f>
        <v/>
      </c>
      <c r="CS57" s="409">
        <f>SUM(CS13:CS56)</f>
        <v/>
      </c>
      <c r="CT57" s="409">
        <f>SUM(CT13:CT56)</f>
        <v/>
      </c>
      <c r="CU57" s="409">
        <f>SUM(CU13:CU56)</f>
        <v/>
      </c>
      <c r="CV57" s="409">
        <f>SUM(CV13:CV56)</f>
        <v/>
      </c>
      <c r="CW57" s="409">
        <f>SUM(CW13:CW56)</f>
        <v/>
      </c>
      <c r="CX57" s="409">
        <f>SUM(CX13:CX56)</f>
        <v/>
      </c>
      <c r="CY57" s="409">
        <f>SUM(CY13:CY56)</f>
        <v/>
      </c>
      <c r="CZ57" s="409">
        <f>SUM(CZ13:CZ56)</f>
        <v/>
      </c>
      <c r="DA57" s="409">
        <f>SUM(DA13:DA56)</f>
        <v/>
      </c>
      <c r="DB57" s="409">
        <f>SUM(DB13:DB56)</f>
        <v/>
      </c>
      <c r="DC57" s="409">
        <f>SUM(DC13:DC56)</f>
        <v/>
      </c>
      <c r="DD57" s="409">
        <f>SUM(DD13:DD56)</f>
        <v/>
      </c>
      <c r="DE57" s="409">
        <f>SUM(DE13:DE56)</f>
        <v/>
      </c>
    </row>
    <row r="58" ht="15" customFormat="1" customHeight="1" s="380">
      <c r="A58" s="408" t="inlineStr">
        <is>
          <t>Total Revenues</t>
        </is>
      </c>
      <c r="B58" s="409">
        <f>B10+B11+B57</f>
        <v/>
      </c>
      <c r="C58" s="409">
        <f>C10+C11+C57</f>
        <v/>
      </c>
      <c r="D58" s="409">
        <f>D10+D11+D57</f>
        <v/>
      </c>
      <c r="E58" s="409">
        <f>E10+E11+E57</f>
        <v/>
      </c>
      <c r="F58" s="409">
        <f>F10+F11+F57</f>
        <v/>
      </c>
      <c r="G58" s="409">
        <f>G10+G11+G57</f>
        <v/>
      </c>
      <c r="H58" s="409">
        <f>H10+H11+H57</f>
        <v/>
      </c>
      <c r="I58" s="409">
        <f>I10+I11+I57</f>
        <v/>
      </c>
      <c r="J58" s="409">
        <f>J10+J11+J57</f>
        <v/>
      </c>
      <c r="K58" s="409">
        <f>K10+K11+K57</f>
        <v/>
      </c>
      <c r="L58" s="409">
        <f>L10+L11+L57</f>
        <v/>
      </c>
      <c r="M58" s="409">
        <f>M10+M11+M57</f>
        <v/>
      </c>
      <c r="N58" s="409">
        <f>N10+N11+N57</f>
        <v/>
      </c>
      <c r="O58" s="409">
        <f>O10+O11+O57</f>
        <v/>
      </c>
      <c r="P58" s="409">
        <f>P10+P11+P57</f>
        <v/>
      </c>
      <c r="Q58" s="409">
        <f>Q10+Q11+Q57</f>
        <v/>
      </c>
      <c r="R58" s="409">
        <f>R10+R11+R57</f>
        <v/>
      </c>
      <c r="S58" s="409">
        <f>S10+S11+S57</f>
        <v/>
      </c>
      <c r="T58" s="409">
        <f>T10+T11+T57</f>
        <v/>
      </c>
      <c r="U58" s="409">
        <f>U10+U11+U57</f>
        <v/>
      </c>
      <c r="V58" s="409">
        <f>V10+V11+V57</f>
        <v/>
      </c>
      <c r="W58" s="409">
        <f>W10+W11+W57</f>
        <v/>
      </c>
      <c r="X58" s="409">
        <f>X10+X11+X57</f>
        <v/>
      </c>
      <c r="Y58" s="409">
        <f>Y10+Y11+Y57</f>
        <v/>
      </c>
      <c r="Z58" s="409">
        <f>Z10+Z11+Z57</f>
        <v/>
      </c>
      <c r="AA58" s="409">
        <f>AA10+AA11+AA57</f>
        <v/>
      </c>
      <c r="AB58" s="409">
        <f>AB10+AB11+AB57</f>
        <v/>
      </c>
      <c r="AC58" s="409">
        <f>AC10+AC11+AC57</f>
        <v/>
      </c>
      <c r="AD58" s="409">
        <f>AD10+AD11+AD57</f>
        <v/>
      </c>
      <c r="AE58" s="409">
        <f>AE10+AE11+AE57</f>
        <v/>
      </c>
      <c r="AF58" s="409">
        <f>AF10+AF11+AF57</f>
        <v/>
      </c>
      <c r="AG58" s="409">
        <f>AG10+AG11+AG57</f>
        <v/>
      </c>
      <c r="AH58" s="409">
        <f>AH10+AH11+AH57</f>
        <v/>
      </c>
      <c r="AI58" s="409">
        <f>AI10+AI11+AI57</f>
        <v/>
      </c>
      <c r="AJ58" s="409">
        <f>AJ10+AJ11+AJ57</f>
        <v/>
      </c>
      <c r="AK58" s="409">
        <f>AK10+AK11+AK57</f>
        <v/>
      </c>
      <c r="AL58" s="409">
        <f>AL10+AL11+AL57</f>
        <v/>
      </c>
      <c r="AM58" s="409">
        <f>AM10+AM11+AM57</f>
        <v/>
      </c>
      <c r="AN58" s="409">
        <f>AN10+AN11+AN57</f>
        <v/>
      </c>
      <c r="AO58" s="409">
        <f>AO10+AO11+AO57</f>
        <v/>
      </c>
      <c r="AP58" s="409">
        <f>AP10+AP11+AP57</f>
        <v/>
      </c>
      <c r="AQ58" s="409">
        <f>AQ10+AQ11+AQ57</f>
        <v/>
      </c>
      <c r="AR58" s="409">
        <f>AR10+AR11+AR57</f>
        <v/>
      </c>
      <c r="AS58" s="409">
        <f>AS10+AS11+AS57</f>
        <v/>
      </c>
      <c r="AT58" s="409">
        <f>AT10+AT11+AT57</f>
        <v/>
      </c>
      <c r="AU58" s="409">
        <f>AU10+AU11+AU57</f>
        <v/>
      </c>
      <c r="AV58" s="409">
        <f>AV10+AV11+AV57</f>
        <v/>
      </c>
      <c r="AW58" s="409">
        <f>AW10+AW11+AW57</f>
        <v/>
      </c>
      <c r="AX58" s="409">
        <f>AX10+AX11+AX57</f>
        <v/>
      </c>
      <c r="AY58" s="409">
        <f>AY10+AY11+AY57</f>
        <v/>
      </c>
      <c r="AZ58" s="409">
        <f>AZ10+AZ11+AZ57</f>
        <v/>
      </c>
      <c r="BA58" s="409">
        <f>BA10+BA11+BA57</f>
        <v/>
      </c>
      <c r="BB58" s="409">
        <f>BB10+BB11+BB57</f>
        <v/>
      </c>
      <c r="BC58" s="409">
        <f>BC10+BC11+BC57</f>
        <v/>
      </c>
      <c r="BD58" s="409">
        <f>BD10+BD11+BD57</f>
        <v/>
      </c>
      <c r="BE58" s="409">
        <f>BE10+BE11+BE57</f>
        <v/>
      </c>
      <c r="BF58" s="409">
        <f>BF10+BF11+BF57</f>
        <v/>
      </c>
      <c r="BG58" s="409">
        <f>BG10+BG11+BG57</f>
        <v/>
      </c>
      <c r="BH58" s="409">
        <f>BH10+BH11+BH57</f>
        <v/>
      </c>
      <c r="BI58" s="409">
        <f>BI10+BI11+BI57</f>
        <v/>
      </c>
      <c r="BJ58" s="409">
        <f>BJ10+BJ11+BJ57</f>
        <v/>
      </c>
      <c r="BK58" s="409">
        <f>BK10+BK11+BK57</f>
        <v/>
      </c>
      <c r="BL58" s="409">
        <f>BL10+BL11+BL57</f>
        <v/>
      </c>
      <c r="BM58" s="409">
        <f>BM10+BM11+BM57</f>
        <v/>
      </c>
      <c r="BN58" s="409">
        <f>BN10+BN11+BN57</f>
        <v/>
      </c>
      <c r="BO58" s="409">
        <f>BO10+BO11+BO57</f>
        <v/>
      </c>
      <c r="BP58" s="409">
        <f>BP10+BP11+BP57</f>
        <v/>
      </c>
      <c r="BQ58" s="409">
        <f>BQ10+BQ11+BQ57</f>
        <v/>
      </c>
      <c r="BR58" s="409">
        <f>BR10+BR11+BR57</f>
        <v/>
      </c>
      <c r="BS58" s="409">
        <f>BS10+BS11+BS57</f>
        <v/>
      </c>
      <c r="BT58" s="409">
        <f>BT10+BT11+BT57</f>
        <v/>
      </c>
      <c r="BU58" s="409">
        <f>BU10+BU11+BU57</f>
        <v/>
      </c>
      <c r="BV58" s="409">
        <f>BV10+BV11+BV57</f>
        <v/>
      </c>
      <c r="BW58" s="409">
        <f>BW10+BW11+BW57</f>
        <v/>
      </c>
      <c r="BX58" s="409">
        <f>BX10+BX11+BX57</f>
        <v/>
      </c>
      <c r="BY58" s="409">
        <f>BY10+BY11+BY57</f>
        <v/>
      </c>
      <c r="BZ58" s="409">
        <f>BZ10+BZ11+BZ57</f>
        <v/>
      </c>
      <c r="CA58" s="409">
        <f>CA10+CA11+CA57</f>
        <v/>
      </c>
      <c r="CB58" s="409">
        <f>CB10+CB11+CB57</f>
        <v/>
      </c>
      <c r="CC58" s="409">
        <f>CC10+CC11+CC57</f>
        <v/>
      </c>
      <c r="CD58" s="409">
        <f>CD10+CD11+CD57</f>
        <v/>
      </c>
      <c r="CE58" s="409">
        <f>CE10+CE11+CE57</f>
        <v/>
      </c>
      <c r="CF58" s="409">
        <f>CF10+CF11+CF57</f>
        <v/>
      </c>
      <c r="CG58" s="409">
        <f>CG10+CG11+CG57</f>
        <v/>
      </c>
      <c r="CH58" s="409">
        <f>CH10+CH11+CH57</f>
        <v/>
      </c>
      <c r="CI58" s="409">
        <f>CI10+CI11+CI57</f>
        <v/>
      </c>
      <c r="CJ58" s="409">
        <f>CJ10+CJ11+CJ57</f>
        <v/>
      </c>
      <c r="CK58" s="409">
        <f>CK10+CK11+CK57</f>
        <v/>
      </c>
      <c r="CL58" s="409">
        <f>CL10+CL11+CL57</f>
        <v/>
      </c>
      <c r="CM58" s="409">
        <f>CM10+CM11+CM57</f>
        <v/>
      </c>
      <c r="CN58" s="409">
        <f>CN10+CN11+CN57</f>
        <v/>
      </c>
      <c r="CO58" s="409">
        <f>CO10+CO11+CO57</f>
        <v/>
      </c>
      <c r="CP58" s="409">
        <f>CP10+CP11+CP57</f>
        <v/>
      </c>
      <c r="CQ58" s="409">
        <f>CQ10+CQ11+CQ57</f>
        <v/>
      </c>
      <c r="CR58" s="409">
        <f>CR10+CR11+CR57</f>
        <v/>
      </c>
      <c r="CS58" s="409">
        <f>CS10+CS11+CS57</f>
        <v/>
      </c>
      <c r="CT58" s="409">
        <f>CT10+CT11+CT57</f>
        <v/>
      </c>
      <c r="CU58" s="409">
        <f>CU10+CU11+CU57</f>
        <v/>
      </c>
      <c r="CV58" s="409">
        <f>CV10+CV11+CV57</f>
        <v/>
      </c>
      <c r="CW58" s="409">
        <f>CW10+CW11+CW57</f>
        <v/>
      </c>
      <c r="CX58" s="409">
        <f>CX10+CX11+CX57</f>
        <v/>
      </c>
      <c r="CY58" s="409">
        <f>CY10+CY11+CY57</f>
        <v/>
      </c>
      <c r="CZ58" s="409">
        <f>CZ10+CZ11+CZ57</f>
        <v/>
      </c>
      <c r="DA58" s="409">
        <f>DA10+DA11+DA57</f>
        <v/>
      </c>
      <c r="DB58" s="409">
        <f>DB10+DB11+DB57</f>
        <v/>
      </c>
      <c r="DC58" s="409">
        <f>DC10+DC11+DC57</f>
        <v/>
      </c>
      <c r="DD58" s="409">
        <f>DD10+DD11+DD57</f>
        <v/>
      </c>
      <c r="DE58" s="409">
        <f>DE10+DE11+DE57</f>
        <v/>
      </c>
    </row>
    <row r="59" ht="15" customFormat="1" customHeight="1" s="380">
      <c r="A59" s="406" t="inlineStr">
        <is>
          <t>COGS - Trade and Site Costs</t>
        </is>
      </c>
      <c r="B59" s="399" t="n"/>
      <c r="C59" s="399" t="n"/>
      <c r="D59" s="399" t="n"/>
      <c r="E59" s="399" t="n"/>
      <c r="F59" s="399" t="n"/>
      <c r="G59" s="399" t="n"/>
      <c r="H59" s="399" t="n"/>
      <c r="I59" s="399" t="n"/>
      <c r="J59" s="399" t="n"/>
      <c r="K59" s="399" t="n"/>
      <c r="L59" s="399" t="n"/>
      <c r="M59" s="399" t="n"/>
      <c r="N59" s="399" t="n"/>
      <c r="O59" s="399" t="n"/>
      <c r="P59" s="399" t="n"/>
      <c r="Q59" s="399" t="n"/>
      <c r="R59" s="399" t="n"/>
      <c r="S59" s="399" t="n"/>
      <c r="T59" s="399" t="n"/>
      <c r="U59" s="399" t="n"/>
      <c r="V59" s="399" t="n"/>
      <c r="W59" s="399" t="n"/>
      <c r="X59" s="399" t="n"/>
      <c r="Y59" s="399" t="n"/>
      <c r="Z59" s="399" t="n"/>
      <c r="AA59" s="399" t="n"/>
      <c r="AB59" s="399" t="n"/>
      <c r="AC59" s="399" t="n"/>
      <c r="AD59" s="399" t="n"/>
      <c r="AE59" s="399" t="n"/>
      <c r="AF59" s="399" t="n"/>
      <c r="AG59" s="399" t="n"/>
      <c r="AH59" s="399" t="n"/>
      <c r="AI59" s="399" t="n"/>
      <c r="AJ59" s="399" t="n"/>
      <c r="AK59" s="399" t="n"/>
      <c r="AL59" s="399" t="n"/>
      <c r="AM59" s="399" t="n"/>
      <c r="AN59" s="399" t="n"/>
      <c r="AO59" s="399" t="n"/>
      <c r="AP59" s="399" t="n"/>
      <c r="AQ59" s="399" t="n"/>
      <c r="AR59" s="399" t="n"/>
      <c r="AS59" s="399" t="n"/>
      <c r="AT59" s="399" t="n"/>
      <c r="AU59" s="399" t="n"/>
      <c r="AV59" s="399" t="n"/>
      <c r="AW59" s="399" t="n"/>
      <c r="AX59" s="399" t="n"/>
      <c r="AY59" s="399" t="n"/>
      <c r="AZ59" s="399" t="n"/>
      <c r="BA59" s="399" t="n"/>
      <c r="BB59" s="399" t="n"/>
      <c r="BC59" s="399" t="n"/>
      <c r="BD59" s="399" t="n"/>
      <c r="BE59" s="399" t="n"/>
      <c r="BF59" s="399" t="n"/>
      <c r="BG59" s="399" t="n"/>
      <c r="BH59" s="399" t="n"/>
      <c r="BI59" s="399" t="n"/>
      <c r="BJ59" s="399" t="n"/>
      <c r="BK59" s="399" t="n"/>
      <c r="BL59" s="399" t="n"/>
      <c r="BM59" s="399" t="n"/>
      <c r="BN59" s="399" t="n"/>
      <c r="BO59" s="399" t="n"/>
      <c r="BP59" s="399" t="n"/>
      <c r="BQ59" s="399" t="n"/>
      <c r="BR59" s="399" t="n"/>
      <c r="BS59" s="399" t="n"/>
      <c r="BT59" s="399" t="n"/>
      <c r="BU59" s="399" t="n"/>
      <c r="BV59" s="399" t="n"/>
      <c r="BW59" s="399" t="n"/>
      <c r="BX59" s="399" t="n"/>
      <c r="BY59" s="399" t="n"/>
      <c r="BZ59" s="399" t="n"/>
      <c r="CA59" s="399" t="n"/>
      <c r="CB59" s="399" t="n"/>
      <c r="CC59" s="399" t="n"/>
      <c r="CD59" s="399" t="n"/>
      <c r="CE59" s="399" t="n"/>
      <c r="CF59" s="399" t="n"/>
      <c r="CG59" s="399" t="n"/>
      <c r="CH59" s="399" t="n"/>
      <c r="CI59" s="399" t="n"/>
      <c r="CJ59" s="399" t="n"/>
      <c r="CK59" s="399" t="n"/>
      <c r="CL59" s="399" t="n"/>
      <c r="CM59" s="399" t="n"/>
      <c r="CN59" s="399" t="n"/>
      <c r="CO59" s="399" t="n"/>
      <c r="CP59" s="399" t="n"/>
      <c r="CQ59" s="399" t="n"/>
      <c r="CR59" s="399" t="n"/>
      <c r="CS59" s="399" t="n"/>
      <c r="CT59" s="399" t="n"/>
      <c r="CU59" s="399" t="n"/>
      <c r="CV59" s="399" t="n"/>
      <c r="CW59" s="399" t="n"/>
      <c r="CX59" s="399" t="n"/>
      <c r="CY59" s="399" t="n"/>
      <c r="CZ59" s="399" t="n"/>
      <c r="DA59" s="399" t="n"/>
      <c r="DB59" s="399" t="n"/>
      <c r="DC59" s="399" t="n"/>
      <c r="DD59" s="399" t="n"/>
      <c r="DE59" s="399" t="n"/>
    </row>
    <row r="60" hidden="1" outlineLevel="1" ht="15" customFormat="1" customHeight="1" s="380">
      <c r="A60" s="407" t="inlineStr">
        <is>
          <t>Crenshaw</t>
        </is>
      </c>
      <c r="B60" s="399" t="n">
        <v>-392121.92</v>
      </c>
      <c r="C60" s="399" t="n">
        <v>-637382.47</v>
      </c>
      <c r="D60" s="399" t="n">
        <v>-648049.66</v>
      </c>
      <c r="E60" s="399" t="n">
        <v>-703827.85</v>
      </c>
      <c r="F60" s="399" t="n">
        <v>-721750.22</v>
      </c>
      <c r="G60" s="399" t="n">
        <v>-887674.09</v>
      </c>
      <c r="H60" s="399" t="n">
        <v>-1071089</v>
      </c>
      <c r="I60" s="399">
        <f>-4180193.67*Curves!F$6/SUM(Curves!$E$6:$I$6)</f>
        <v/>
      </c>
      <c r="J60" s="399">
        <f>-4180193.67*Curves!G$6/SUM(Curves!$E$6:$I$6)</f>
        <v/>
      </c>
      <c r="K60" s="399">
        <f>-4180193.67*Curves!H$6/SUM(Curves!$E$6:$I$6)</f>
        <v/>
      </c>
      <c r="L60" s="399">
        <f>-4180193.67*Curves!I$6/SUM(Curves!$E$6:$I$6)</f>
        <v/>
      </c>
      <c r="M60" s="399">
        <f>-M13</f>
        <v/>
      </c>
      <c r="N60" s="399">
        <f>-N13</f>
        <v/>
      </c>
      <c r="O60" s="399">
        <f>-O13</f>
        <v/>
      </c>
      <c r="P60" s="399">
        <f>-P13</f>
        <v/>
      </c>
      <c r="Q60" s="399">
        <f>-Q13</f>
        <v/>
      </c>
      <c r="R60" s="399">
        <f>-R13</f>
        <v/>
      </c>
      <c r="S60" s="399">
        <f>-S13</f>
        <v/>
      </c>
      <c r="T60" s="399">
        <f>-T13</f>
        <v/>
      </c>
      <c r="U60" s="399">
        <f>-U13</f>
        <v/>
      </c>
      <c r="V60" s="399">
        <f>-V13</f>
        <v/>
      </c>
      <c r="W60" s="399">
        <f>-W13</f>
        <v/>
      </c>
      <c r="X60" s="399">
        <f>-X13</f>
        <v/>
      </c>
      <c r="Y60" s="399">
        <f>-Y13</f>
        <v/>
      </c>
      <c r="Z60" s="399">
        <f>-Z13</f>
        <v/>
      </c>
      <c r="AA60" s="399">
        <f>-AA13</f>
        <v/>
      </c>
      <c r="AB60" s="399">
        <f>-AB13</f>
        <v/>
      </c>
      <c r="AC60" s="399">
        <f>-AC13</f>
        <v/>
      </c>
      <c r="AD60" s="399">
        <f>-AD13</f>
        <v/>
      </c>
      <c r="AE60" s="399">
        <f>-AE13</f>
        <v/>
      </c>
      <c r="AF60" s="399">
        <f>-AF13</f>
        <v/>
      </c>
      <c r="AG60" s="399">
        <f>-AG13</f>
        <v/>
      </c>
      <c r="AH60" s="399">
        <f>-AH13</f>
        <v/>
      </c>
      <c r="AI60" s="399">
        <f>-AI13</f>
        <v/>
      </c>
      <c r="AJ60" s="399">
        <f>-AJ13</f>
        <v/>
      </c>
      <c r="AK60" s="399">
        <f>-AK13</f>
        <v/>
      </c>
      <c r="AL60" s="399">
        <f>-AL13</f>
        <v/>
      </c>
      <c r="AM60" s="399">
        <f>-AM13</f>
        <v/>
      </c>
      <c r="AN60" s="399">
        <f>-AN13</f>
        <v/>
      </c>
      <c r="AO60" s="399">
        <f>-AO13</f>
        <v/>
      </c>
      <c r="AP60" s="399">
        <f>-AP13</f>
        <v/>
      </c>
      <c r="AQ60" s="399">
        <f>-AQ13</f>
        <v/>
      </c>
      <c r="AR60" s="399">
        <f>-AR13</f>
        <v/>
      </c>
      <c r="AS60" s="399">
        <f>-AS13</f>
        <v/>
      </c>
      <c r="AT60" s="399">
        <f>-AT13</f>
        <v/>
      </c>
      <c r="AU60" s="399">
        <f>-AU13</f>
        <v/>
      </c>
      <c r="AV60" s="399">
        <f>-AV13</f>
        <v/>
      </c>
      <c r="AW60" s="399">
        <f>-AW13</f>
        <v/>
      </c>
      <c r="AX60" s="399">
        <f>-AX13</f>
        <v/>
      </c>
      <c r="AY60" s="399">
        <f>-AY13</f>
        <v/>
      </c>
      <c r="AZ60" s="399">
        <f>-AZ13</f>
        <v/>
      </c>
      <c r="BA60" s="399">
        <f>-BA13</f>
        <v/>
      </c>
      <c r="BB60" s="399">
        <f>-BB13</f>
        <v/>
      </c>
      <c r="BC60" s="399">
        <f>-BC13</f>
        <v/>
      </c>
      <c r="BD60" s="399">
        <f>-BD13</f>
        <v/>
      </c>
      <c r="BE60" s="399">
        <f>-BE13</f>
        <v/>
      </c>
      <c r="BF60" s="399">
        <f>-BF13</f>
        <v/>
      </c>
      <c r="BG60" s="399">
        <f>-BG13</f>
        <v/>
      </c>
      <c r="BH60" s="399">
        <f>-BH13</f>
        <v/>
      </c>
      <c r="BI60" s="399">
        <f>-BI13</f>
        <v/>
      </c>
      <c r="BJ60" s="399">
        <f>-BJ13</f>
        <v/>
      </c>
      <c r="BK60" s="399">
        <f>-BK13</f>
        <v/>
      </c>
      <c r="BL60" s="399">
        <f>-BL13</f>
        <v/>
      </c>
      <c r="BM60" s="399">
        <f>-BM13</f>
        <v/>
      </c>
      <c r="BN60" s="399">
        <f>-BN13</f>
        <v/>
      </c>
      <c r="BO60" s="399">
        <f>-BO13</f>
        <v/>
      </c>
      <c r="BP60" s="399">
        <f>-BP13</f>
        <v/>
      </c>
      <c r="BQ60" s="399">
        <f>-BQ13</f>
        <v/>
      </c>
      <c r="BR60" s="399">
        <f>-BR13</f>
        <v/>
      </c>
      <c r="BS60" s="399">
        <f>-BS13</f>
        <v/>
      </c>
      <c r="BT60" s="399">
        <f>-BT13</f>
        <v/>
      </c>
      <c r="BU60" s="399">
        <f>-BU13</f>
        <v/>
      </c>
      <c r="BV60" s="399">
        <f>-BV13</f>
        <v/>
      </c>
      <c r="BW60" s="399">
        <f>-BW13</f>
        <v/>
      </c>
      <c r="BX60" s="399">
        <f>-BX13</f>
        <v/>
      </c>
      <c r="BY60" s="399">
        <f>-BY13</f>
        <v/>
      </c>
      <c r="BZ60" s="399">
        <f>-BZ13</f>
        <v/>
      </c>
      <c r="CA60" s="399">
        <f>-CA13</f>
        <v/>
      </c>
      <c r="CB60" s="399">
        <f>-CB13</f>
        <v/>
      </c>
      <c r="CC60" s="399">
        <f>-CC13</f>
        <v/>
      </c>
      <c r="CD60" s="399">
        <f>-CD13</f>
        <v/>
      </c>
      <c r="CE60" s="399">
        <f>-CE13</f>
        <v/>
      </c>
      <c r="CF60" s="399">
        <f>-CF13</f>
        <v/>
      </c>
      <c r="CG60" s="399">
        <f>-CG13</f>
        <v/>
      </c>
      <c r="CH60" s="399">
        <f>-CH13</f>
        <v/>
      </c>
      <c r="CI60" s="399">
        <f>-CI13</f>
        <v/>
      </c>
      <c r="CJ60" s="399">
        <f>-CJ13</f>
        <v/>
      </c>
      <c r="CK60" s="399">
        <f>-CK13</f>
        <v/>
      </c>
      <c r="CL60" s="399">
        <f>-CL13</f>
        <v/>
      </c>
      <c r="CM60" s="399">
        <f>-CM13</f>
        <v/>
      </c>
      <c r="CN60" s="399">
        <f>-CN13</f>
        <v/>
      </c>
      <c r="CO60" s="399">
        <f>-CO13</f>
        <v/>
      </c>
      <c r="CP60" s="399">
        <f>-CP13</f>
        <v/>
      </c>
      <c r="CQ60" s="399">
        <f>-CQ13</f>
        <v/>
      </c>
      <c r="CR60" s="399">
        <f>-CR13</f>
        <v/>
      </c>
      <c r="CS60" s="399">
        <f>-CS13</f>
        <v/>
      </c>
      <c r="CT60" s="399">
        <f>-CT13</f>
        <v/>
      </c>
      <c r="CU60" s="399">
        <f>-CU13</f>
        <v/>
      </c>
      <c r="CV60" s="399">
        <f>-CV13</f>
        <v/>
      </c>
      <c r="CW60" s="399">
        <f>-CW13</f>
        <v/>
      </c>
      <c r="CX60" s="399">
        <f>-CX13</f>
        <v/>
      </c>
      <c r="CY60" s="399">
        <f>-CY13</f>
        <v/>
      </c>
      <c r="CZ60" s="399">
        <f>-CZ13</f>
        <v/>
      </c>
      <c r="DA60" s="399">
        <f>-DA13</f>
        <v/>
      </c>
      <c r="DB60" s="399">
        <f>-DB13</f>
        <v/>
      </c>
      <c r="DC60" s="399">
        <f>-DC13</f>
        <v/>
      </c>
      <c r="DD60" s="399">
        <f>-DD13</f>
        <v/>
      </c>
      <c r="DE60" s="399">
        <f>-DE13</f>
        <v/>
      </c>
    </row>
    <row r="61" hidden="1" outlineLevel="1" ht="15" customFormat="1" customHeight="1" s="380">
      <c r="A61" s="407" t="inlineStr">
        <is>
          <t>Ramsgate</t>
        </is>
      </c>
      <c r="B61" s="399" t="n">
        <v>-595869.4</v>
      </c>
      <c r="C61" s="399" t="n">
        <v>-1621243.4</v>
      </c>
      <c r="D61" s="399" t="n">
        <v>-632087.3</v>
      </c>
      <c r="E61" s="399" t="n">
        <v>-1167810.54</v>
      </c>
      <c r="F61" s="399" t="n">
        <v>-1117245.99</v>
      </c>
      <c r="G61" s="399" t="n">
        <v>-1865720.31</v>
      </c>
      <c r="H61" s="399" t="n">
        <v>-1954473</v>
      </c>
      <c r="I61" s="399" t="n">
        <v>-1312002.42</v>
      </c>
      <c r="J61" s="399" t="n">
        <v>-1102256.07</v>
      </c>
      <c r="K61" s="399" t="n">
        <v>-898872.99</v>
      </c>
      <c r="L61" s="399" t="n">
        <v>-835432.15</v>
      </c>
      <c r="M61" s="399" t="n">
        <v>-857062.77</v>
      </c>
      <c r="N61" s="399" t="n">
        <v>-1066670.73</v>
      </c>
      <c r="O61" s="399" t="n">
        <v>-840881.51</v>
      </c>
      <c r="P61" s="399" t="n">
        <v>-1127710.87</v>
      </c>
      <c r="Q61" s="399" t="n">
        <v>-899066.21</v>
      </c>
      <c r="R61" s="399" t="n">
        <v>-684120.16</v>
      </c>
      <c r="S61" s="399" t="n">
        <v>-622681.27</v>
      </c>
      <c r="T61" s="399" t="n">
        <v>-841415.12</v>
      </c>
      <c r="U61" s="399" t="n">
        <v>-850101.75</v>
      </c>
      <c r="V61" s="399" t="n">
        <v>-275300.65</v>
      </c>
      <c r="W61" s="399" t="n">
        <v>0</v>
      </c>
      <c r="X61" s="399" t="n">
        <v>0</v>
      </c>
      <c r="Y61" s="399" t="n">
        <v>0</v>
      </c>
      <c r="Z61" s="399" t="n">
        <v>0</v>
      </c>
      <c r="AA61" s="399" t="n">
        <v>0</v>
      </c>
      <c r="AB61" s="399" t="n">
        <v>0</v>
      </c>
      <c r="AC61" s="399" t="n">
        <v>0</v>
      </c>
      <c r="AD61" s="399" t="n">
        <v>0</v>
      </c>
      <c r="AE61" s="399" t="n">
        <v>0</v>
      </c>
      <c r="AF61" s="399" t="n">
        <v>0</v>
      </c>
      <c r="AG61" s="399" t="n">
        <v>0</v>
      </c>
      <c r="AH61" s="399" t="n">
        <v>0</v>
      </c>
      <c r="AI61" s="399" t="n">
        <v>0</v>
      </c>
      <c r="AJ61" s="399" t="n">
        <v>0</v>
      </c>
      <c r="AK61" s="399" t="n">
        <v>0</v>
      </c>
      <c r="AL61" s="399" t="n">
        <v>0</v>
      </c>
      <c r="AM61" s="399" t="n">
        <v>0</v>
      </c>
      <c r="AN61" s="399" t="n">
        <v>0</v>
      </c>
      <c r="AO61" s="399" t="n">
        <v>0</v>
      </c>
      <c r="AP61" s="399" t="n">
        <v>0</v>
      </c>
      <c r="AQ61" s="399" t="n">
        <v>0</v>
      </c>
      <c r="AR61" s="399" t="n">
        <v>0</v>
      </c>
      <c r="AS61" s="399" t="n">
        <v>0</v>
      </c>
      <c r="AT61" s="399" t="n">
        <v>0</v>
      </c>
      <c r="AU61" s="399" t="n">
        <v>0</v>
      </c>
      <c r="AV61" s="399" t="n">
        <v>0</v>
      </c>
      <c r="AW61" s="399" t="n">
        <v>0</v>
      </c>
      <c r="AX61" s="399" t="n">
        <v>0</v>
      </c>
      <c r="AY61" s="399" t="n">
        <v>0</v>
      </c>
      <c r="AZ61" s="399" t="n">
        <v>0</v>
      </c>
      <c r="BA61" s="399" t="n">
        <v>0</v>
      </c>
      <c r="BB61" s="399" t="n">
        <v>0</v>
      </c>
      <c r="BC61" s="399" t="n">
        <v>0</v>
      </c>
      <c r="BD61" s="399" t="n">
        <v>0</v>
      </c>
      <c r="BE61" s="399" t="n">
        <v>0</v>
      </c>
      <c r="BF61" s="399" t="n">
        <v>0</v>
      </c>
      <c r="BG61" s="399" t="n">
        <v>0</v>
      </c>
      <c r="BH61" s="399" t="n">
        <v>0</v>
      </c>
      <c r="BI61" s="399" t="n">
        <v>0</v>
      </c>
      <c r="BJ61" s="399" t="n">
        <v>0</v>
      </c>
      <c r="BK61" s="399" t="n">
        <v>0</v>
      </c>
      <c r="BL61" s="399" t="n">
        <v>0</v>
      </c>
      <c r="BM61" s="399" t="n">
        <v>0</v>
      </c>
      <c r="BN61" s="399" t="n">
        <v>0</v>
      </c>
      <c r="BO61" s="399" t="n">
        <v>0</v>
      </c>
      <c r="BP61" s="399" t="n">
        <v>0</v>
      </c>
      <c r="BQ61" s="399" t="n">
        <v>0</v>
      </c>
      <c r="BR61" s="399" t="n">
        <v>0</v>
      </c>
      <c r="BS61" s="399" t="n">
        <v>0</v>
      </c>
      <c r="BT61" s="399" t="n">
        <v>0</v>
      </c>
      <c r="BU61" s="399" t="n">
        <v>0</v>
      </c>
      <c r="BV61" s="399" t="n">
        <v>0</v>
      </c>
      <c r="BW61" s="399" t="n">
        <v>0</v>
      </c>
      <c r="BX61" s="399" t="n">
        <v>0</v>
      </c>
      <c r="BY61" s="399" t="n">
        <v>0</v>
      </c>
      <c r="BZ61" s="399" t="n">
        <v>0</v>
      </c>
      <c r="CA61" s="399" t="n">
        <v>0</v>
      </c>
      <c r="CB61" s="399" t="n">
        <v>0</v>
      </c>
      <c r="CC61" s="399" t="n">
        <v>0</v>
      </c>
      <c r="CD61" s="399" t="n">
        <v>0</v>
      </c>
      <c r="CE61" s="399" t="n">
        <v>0</v>
      </c>
      <c r="CF61" s="399" t="n">
        <v>0</v>
      </c>
      <c r="CG61" s="399" t="n">
        <v>0</v>
      </c>
      <c r="CH61" s="399" t="n">
        <v>0</v>
      </c>
      <c r="CI61" s="399" t="n">
        <v>0</v>
      </c>
      <c r="CJ61" s="399" t="n">
        <v>0</v>
      </c>
      <c r="CK61" s="399" t="n">
        <v>0</v>
      </c>
      <c r="CL61" s="399" t="n">
        <v>0</v>
      </c>
      <c r="CM61" s="399" t="n">
        <v>0</v>
      </c>
      <c r="CN61" s="399" t="n">
        <v>0</v>
      </c>
      <c r="CO61" s="399" t="n">
        <v>0</v>
      </c>
      <c r="CP61" s="399" t="n">
        <v>0</v>
      </c>
      <c r="CQ61" s="399" t="n">
        <v>0</v>
      </c>
      <c r="CR61" s="399" t="n">
        <v>0</v>
      </c>
      <c r="CS61" s="399" t="n">
        <v>0</v>
      </c>
      <c r="CT61" s="399" t="n">
        <v>0</v>
      </c>
      <c r="CU61" s="399" t="n">
        <v>0</v>
      </c>
      <c r="CV61" s="399" t="n">
        <v>0</v>
      </c>
      <c r="CW61" s="399" t="n">
        <v>0</v>
      </c>
      <c r="CX61" s="399" t="n">
        <v>0</v>
      </c>
      <c r="CY61" s="399" t="n">
        <v>0</v>
      </c>
      <c r="CZ61" s="399" t="n">
        <v>0</v>
      </c>
      <c r="DA61" s="399" t="n">
        <v>0</v>
      </c>
      <c r="DB61" s="399" t="n">
        <v>0</v>
      </c>
      <c r="DC61" s="399" t="n">
        <v>0</v>
      </c>
      <c r="DD61" s="399" t="n">
        <v>0</v>
      </c>
      <c r="DE61" s="399" t="n">
        <v>0</v>
      </c>
    </row>
    <row r="62" hidden="1" outlineLevel="1" ht="15" customFormat="1" customHeight="1" s="380">
      <c r="A62" s="407" t="inlineStr">
        <is>
          <t>Califa</t>
        </is>
      </c>
      <c r="B62" s="399" t="n">
        <v>-145589.08</v>
      </c>
      <c r="C62" s="399" t="n">
        <v>-548956.42</v>
      </c>
      <c r="D62" s="399" t="n">
        <v>-286493.58</v>
      </c>
      <c r="E62" s="399" t="n">
        <v>-571051.7</v>
      </c>
      <c r="F62" s="399" t="n">
        <v>-1099379.66</v>
      </c>
      <c r="G62" s="399" t="n">
        <v>-1322858.63</v>
      </c>
      <c r="H62" s="399" t="n">
        <v>-593261</v>
      </c>
      <c r="I62" s="399" t="n">
        <v>-559414.4</v>
      </c>
      <c r="J62" s="399" t="n">
        <v>-582688.6899999999</v>
      </c>
      <c r="K62" s="399" t="n">
        <v>-536170.97</v>
      </c>
      <c r="L62" s="399" t="n">
        <v>-611869.9300000001</v>
      </c>
      <c r="M62" s="399" t="n">
        <v>-750438.98</v>
      </c>
      <c r="N62" s="399" t="n">
        <v>-680375.29</v>
      </c>
      <c r="O62" s="399" t="n">
        <v>-611450.91</v>
      </c>
      <c r="P62" s="399" t="n">
        <v>-696726.3</v>
      </c>
      <c r="Q62" s="399" t="n">
        <v>-715728.35</v>
      </c>
      <c r="R62" s="399" t="n">
        <v>-576870.58</v>
      </c>
      <c r="S62" s="399" t="n">
        <v>-356282.42</v>
      </c>
      <c r="T62" s="399" t="n">
        <v>-168048.13</v>
      </c>
      <c r="U62" s="399" t="n">
        <v>-123576.83</v>
      </c>
      <c r="V62" s="399" t="n">
        <v>0</v>
      </c>
      <c r="W62" s="399" t="n">
        <v>0</v>
      </c>
      <c r="X62" s="399" t="n">
        <v>0</v>
      </c>
      <c r="Y62" s="399" t="n">
        <v>0</v>
      </c>
      <c r="Z62" s="399" t="n">
        <v>0</v>
      </c>
      <c r="AA62" s="399" t="n">
        <v>0</v>
      </c>
      <c r="AB62" s="399" t="n">
        <v>0</v>
      </c>
      <c r="AC62" s="399" t="n">
        <v>0</v>
      </c>
      <c r="AD62" s="399" t="n">
        <v>0</v>
      </c>
      <c r="AE62" s="399" t="n">
        <v>0</v>
      </c>
      <c r="AF62" s="399" t="n">
        <v>0</v>
      </c>
      <c r="AG62" s="399" t="n">
        <v>0</v>
      </c>
      <c r="AH62" s="399" t="n">
        <v>0</v>
      </c>
      <c r="AI62" s="399" t="n">
        <v>0</v>
      </c>
      <c r="AJ62" s="399" t="n">
        <v>0</v>
      </c>
      <c r="AK62" s="399" t="n">
        <v>0</v>
      </c>
      <c r="AL62" s="399" t="n">
        <v>0</v>
      </c>
      <c r="AM62" s="399" t="n">
        <v>0</v>
      </c>
      <c r="AN62" s="399" t="n">
        <v>0</v>
      </c>
      <c r="AO62" s="399" t="n">
        <v>0</v>
      </c>
      <c r="AP62" s="399" t="n">
        <v>0</v>
      </c>
      <c r="AQ62" s="399" t="n">
        <v>0</v>
      </c>
      <c r="AR62" s="399" t="n">
        <v>0</v>
      </c>
      <c r="AS62" s="399" t="n">
        <v>0</v>
      </c>
      <c r="AT62" s="399" t="n">
        <v>0</v>
      </c>
      <c r="AU62" s="399" t="n">
        <v>0</v>
      </c>
      <c r="AV62" s="399" t="n">
        <v>0</v>
      </c>
      <c r="AW62" s="399" t="n">
        <v>0</v>
      </c>
      <c r="AX62" s="399" t="n">
        <v>0</v>
      </c>
      <c r="AY62" s="399" t="n">
        <v>0</v>
      </c>
      <c r="AZ62" s="399" t="n">
        <v>0</v>
      </c>
      <c r="BA62" s="399" t="n">
        <v>0</v>
      </c>
      <c r="BB62" s="399" t="n">
        <v>0</v>
      </c>
      <c r="BC62" s="399" t="n">
        <v>0</v>
      </c>
      <c r="BD62" s="399" t="n">
        <v>0</v>
      </c>
      <c r="BE62" s="399" t="n">
        <v>0</v>
      </c>
      <c r="BF62" s="399" t="n">
        <v>0</v>
      </c>
      <c r="BG62" s="399" t="n">
        <v>0</v>
      </c>
      <c r="BH62" s="399" t="n">
        <v>0</v>
      </c>
      <c r="BI62" s="399" t="n">
        <v>0</v>
      </c>
      <c r="BJ62" s="399" t="n">
        <v>0</v>
      </c>
      <c r="BK62" s="399" t="n">
        <v>0</v>
      </c>
      <c r="BL62" s="399" t="n">
        <v>0</v>
      </c>
      <c r="BM62" s="399" t="n">
        <v>0</v>
      </c>
      <c r="BN62" s="399" t="n">
        <v>0</v>
      </c>
      <c r="BO62" s="399" t="n">
        <v>0</v>
      </c>
      <c r="BP62" s="399" t="n">
        <v>0</v>
      </c>
      <c r="BQ62" s="399" t="n">
        <v>0</v>
      </c>
      <c r="BR62" s="399" t="n">
        <v>0</v>
      </c>
      <c r="BS62" s="399" t="n">
        <v>0</v>
      </c>
      <c r="BT62" s="399" t="n">
        <v>0</v>
      </c>
      <c r="BU62" s="399" t="n">
        <v>0</v>
      </c>
      <c r="BV62" s="399" t="n">
        <v>0</v>
      </c>
      <c r="BW62" s="399" t="n">
        <v>0</v>
      </c>
      <c r="BX62" s="399" t="n">
        <v>0</v>
      </c>
      <c r="BY62" s="399" t="n">
        <v>0</v>
      </c>
      <c r="BZ62" s="399" t="n">
        <v>0</v>
      </c>
      <c r="CA62" s="399" t="n">
        <v>0</v>
      </c>
      <c r="CB62" s="399" t="n">
        <v>0</v>
      </c>
      <c r="CC62" s="399" t="n">
        <v>0</v>
      </c>
      <c r="CD62" s="399" t="n">
        <v>0</v>
      </c>
      <c r="CE62" s="399" t="n">
        <v>0</v>
      </c>
      <c r="CF62" s="399" t="n">
        <v>0</v>
      </c>
      <c r="CG62" s="399" t="n">
        <v>0</v>
      </c>
      <c r="CH62" s="399" t="n">
        <v>0</v>
      </c>
      <c r="CI62" s="399" t="n">
        <v>0</v>
      </c>
      <c r="CJ62" s="399" t="n">
        <v>0</v>
      </c>
      <c r="CK62" s="399" t="n">
        <v>0</v>
      </c>
      <c r="CL62" s="399" t="n">
        <v>0</v>
      </c>
      <c r="CM62" s="399" t="n">
        <v>0</v>
      </c>
      <c r="CN62" s="399" t="n">
        <v>0</v>
      </c>
      <c r="CO62" s="399" t="n">
        <v>0</v>
      </c>
      <c r="CP62" s="399" t="n">
        <v>0</v>
      </c>
      <c r="CQ62" s="399" t="n">
        <v>0</v>
      </c>
      <c r="CR62" s="399" t="n">
        <v>0</v>
      </c>
      <c r="CS62" s="399" t="n">
        <v>0</v>
      </c>
      <c r="CT62" s="399" t="n">
        <v>0</v>
      </c>
      <c r="CU62" s="399" t="n">
        <v>0</v>
      </c>
      <c r="CV62" s="399" t="n">
        <v>0</v>
      </c>
      <c r="CW62" s="399" t="n">
        <v>0</v>
      </c>
      <c r="CX62" s="399" t="n">
        <v>0</v>
      </c>
      <c r="CY62" s="399" t="n">
        <v>0</v>
      </c>
      <c r="CZ62" s="399" t="n">
        <v>0</v>
      </c>
      <c r="DA62" s="399" t="n">
        <v>0</v>
      </c>
      <c r="DB62" s="399" t="n">
        <v>0</v>
      </c>
      <c r="DC62" s="399" t="n">
        <v>0</v>
      </c>
      <c r="DD62" s="399" t="n">
        <v>0</v>
      </c>
      <c r="DE62" s="399" t="n">
        <v>0</v>
      </c>
    </row>
    <row r="63" hidden="1" outlineLevel="1" ht="15" customFormat="1" customHeight="1" s="380">
      <c r="A63" s="407" t="inlineStr">
        <is>
          <t>Whipple</t>
        </is>
      </c>
      <c r="B63" s="399" t="n">
        <v>-97487.03</v>
      </c>
      <c r="C63" s="399" t="n">
        <v>-107086.64</v>
      </c>
      <c r="D63" s="399" t="n">
        <v>-228526.73</v>
      </c>
      <c r="E63" s="399" t="n">
        <v>-578098.3199999999</v>
      </c>
      <c r="F63" s="399" t="n">
        <v>-786162.51</v>
      </c>
      <c r="G63" s="399" t="n">
        <v>-1199341.45</v>
      </c>
      <c r="H63" s="399" t="n">
        <v>-1171798</v>
      </c>
      <c r="I63" s="399" t="n">
        <v>-434328.32</v>
      </c>
      <c r="J63" s="399" t="n">
        <v>-721548.58</v>
      </c>
      <c r="K63" s="399" t="n">
        <v>-825542.52</v>
      </c>
      <c r="L63" s="399" t="n">
        <v>-633490.51</v>
      </c>
      <c r="M63" s="399" t="n">
        <v>-715834.34</v>
      </c>
      <c r="N63" s="399" t="n">
        <v>-638902.78</v>
      </c>
      <c r="O63" s="399" t="n">
        <v>-609070.51</v>
      </c>
      <c r="P63" s="399" t="n">
        <v>-550131.88</v>
      </c>
      <c r="Q63" s="399" t="n">
        <v>-434388.25</v>
      </c>
      <c r="R63" s="399" t="n">
        <v>-385862.25</v>
      </c>
      <c r="S63" s="399" t="n">
        <v>-834956.42</v>
      </c>
      <c r="T63" s="399" t="n">
        <v>-1044595.7</v>
      </c>
      <c r="U63" s="399" t="n">
        <v>-698877.24</v>
      </c>
      <c r="V63" s="399" t="n">
        <v>-432918.86</v>
      </c>
      <c r="W63" s="399" t="n">
        <v>-152852.61</v>
      </c>
      <c r="X63" s="399" t="n">
        <v>0</v>
      </c>
      <c r="Y63" s="399" t="n">
        <v>0</v>
      </c>
      <c r="Z63" s="399" t="n">
        <v>0</v>
      </c>
      <c r="AA63" s="399" t="n">
        <v>0</v>
      </c>
      <c r="AB63" s="399" t="n">
        <v>0</v>
      </c>
      <c r="AC63" s="399" t="n">
        <v>0</v>
      </c>
      <c r="AD63" s="399" t="n">
        <v>0</v>
      </c>
      <c r="AE63" s="399" t="n">
        <v>0</v>
      </c>
      <c r="AF63" s="399" t="n">
        <v>0</v>
      </c>
      <c r="AG63" s="399" t="n">
        <v>0</v>
      </c>
      <c r="AH63" s="399" t="n">
        <v>0</v>
      </c>
      <c r="AI63" s="399" t="n">
        <v>0</v>
      </c>
      <c r="AJ63" s="399" t="n">
        <v>0</v>
      </c>
      <c r="AK63" s="399" t="n">
        <v>0</v>
      </c>
      <c r="AL63" s="399" t="n">
        <v>0</v>
      </c>
      <c r="AM63" s="399" t="n">
        <v>0</v>
      </c>
      <c r="AN63" s="399" t="n">
        <v>0</v>
      </c>
      <c r="AO63" s="399" t="n">
        <v>0</v>
      </c>
      <c r="AP63" s="399" t="n">
        <v>0</v>
      </c>
      <c r="AQ63" s="399" t="n">
        <v>0</v>
      </c>
      <c r="AR63" s="399" t="n">
        <v>0</v>
      </c>
      <c r="AS63" s="399" t="n">
        <v>0</v>
      </c>
      <c r="AT63" s="399" t="n">
        <v>0</v>
      </c>
      <c r="AU63" s="399" t="n">
        <v>0</v>
      </c>
      <c r="AV63" s="399" t="n">
        <v>0</v>
      </c>
      <c r="AW63" s="399" t="n">
        <v>0</v>
      </c>
      <c r="AX63" s="399" t="n">
        <v>0</v>
      </c>
      <c r="AY63" s="399" t="n">
        <v>0</v>
      </c>
      <c r="AZ63" s="399" t="n">
        <v>0</v>
      </c>
      <c r="BA63" s="399" t="n">
        <v>0</v>
      </c>
      <c r="BB63" s="399" t="n">
        <v>0</v>
      </c>
      <c r="BC63" s="399" t="n">
        <v>0</v>
      </c>
      <c r="BD63" s="399" t="n">
        <v>0</v>
      </c>
      <c r="BE63" s="399" t="n">
        <v>0</v>
      </c>
      <c r="BF63" s="399" t="n">
        <v>0</v>
      </c>
      <c r="BG63" s="399" t="n">
        <v>0</v>
      </c>
      <c r="BH63" s="399" t="n">
        <v>0</v>
      </c>
      <c r="BI63" s="399" t="n">
        <v>0</v>
      </c>
      <c r="BJ63" s="399" t="n">
        <v>0</v>
      </c>
      <c r="BK63" s="399" t="n">
        <v>0</v>
      </c>
      <c r="BL63" s="399" t="n">
        <v>0</v>
      </c>
      <c r="BM63" s="399" t="n">
        <v>0</v>
      </c>
      <c r="BN63" s="399" t="n">
        <v>0</v>
      </c>
      <c r="BO63" s="399" t="n">
        <v>0</v>
      </c>
      <c r="BP63" s="399" t="n">
        <v>0</v>
      </c>
      <c r="BQ63" s="399" t="n">
        <v>0</v>
      </c>
      <c r="BR63" s="399" t="n">
        <v>0</v>
      </c>
      <c r="BS63" s="399" t="n">
        <v>0</v>
      </c>
      <c r="BT63" s="399" t="n">
        <v>0</v>
      </c>
      <c r="BU63" s="399" t="n">
        <v>0</v>
      </c>
      <c r="BV63" s="399" t="n">
        <v>0</v>
      </c>
      <c r="BW63" s="399" t="n">
        <v>0</v>
      </c>
      <c r="BX63" s="399" t="n">
        <v>0</v>
      </c>
      <c r="BY63" s="399" t="n">
        <v>0</v>
      </c>
      <c r="BZ63" s="399" t="n">
        <v>0</v>
      </c>
      <c r="CA63" s="399" t="n">
        <v>0</v>
      </c>
      <c r="CB63" s="399" t="n">
        <v>0</v>
      </c>
      <c r="CC63" s="399" t="n">
        <v>0</v>
      </c>
      <c r="CD63" s="399" t="n">
        <v>0</v>
      </c>
      <c r="CE63" s="399" t="n">
        <v>0</v>
      </c>
      <c r="CF63" s="399" t="n">
        <v>0</v>
      </c>
      <c r="CG63" s="399" t="n">
        <v>0</v>
      </c>
      <c r="CH63" s="399" t="n">
        <v>0</v>
      </c>
      <c r="CI63" s="399" t="n">
        <v>0</v>
      </c>
      <c r="CJ63" s="399" t="n">
        <v>0</v>
      </c>
      <c r="CK63" s="399" t="n">
        <v>0</v>
      </c>
      <c r="CL63" s="399" t="n">
        <v>0</v>
      </c>
      <c r="CM63" s="399" t="n">
        <v>0</v>
      </c>
      <c r="CN63" s="399" t="n">
        <v>0</v>
      </c>
      <c r="CO63" s="399" t="n">
        <v>0</v>
      </c>
      <c r="CP63" s="399" t="n">
        <v>0</v>
      </c>
      <c r="CQ63" s="399" t="n">
        <v>0</v>
      </c>
      <c r="CR63" s="399" t="n">
        <v>0</v>
      </c>
      <c r="CS63" s="399" t="n">
        <v>0</v>
      </c>
      <c r="CT63" s="399" t="n">
        <v>0</v>
      </c>
      <c r="CU63" s="399" t="n">
        <v>0</v>
      </c>
      <c r="CV63" s="399" t="n">
        <v>0</v>
      </c>
      <c r="CW63" s="399" t="n">
        <v>0</v>
      </c>
      <c r="CX63" s="399" t="n">
        <v>0</v>
      </c>
      <c r="CY63" s="399" t="n">
        <v>0</v>
      </c>
      <c r="CZ63" s="399" t="n">
        <v>0</v>
      </c>
      <c r="DA63" s="399" t="n">
        <v>0</v>
      </c>
      <c r="DB63" s="399" t="n">
        <v>0</v>
      </c>
      <c r="DC63" s="399" t="n">
        <v>0</v>
      </c>
      <c r="DD63" s="399" t="n">
        <v>0</v>
      </c>
      <c r="DE63" s="399" t="n">
        <v>0</v>
      </c>
    </row>
    <row r="64" hidden="1" outlineLevel="1" ht="15" customFormat="1" customHeight="1" s="380">
      <c r="A64" s="407" t="inlineStr">
        <is>
          <t>Nelrose</t>
        </is>
      </c>
      <c r="B64" s="399" t="n">
        <v>0</v>
      </c>
      <c r="C64" s="399" t="n">
        <v>-158853.43</v>
      </c>
      <c r="D64" s="399" t="n">
        <v>-282874.37</v>
      </c>
      <c r="E64" s="399" t="n">
        <v>-223950.71</v>
      </c>
      <c r="F64" s="399" t="n">
        <v>-217736.55</v>
      </c>
      <c r="G64" s="399" t="n">
        <v>-325023.37</v>
      </c>
      <c r="H64" s="399" t="n">
        <v>-246996</v>
      </c>
      <c r="I64" s="399" t="n">
        <v>-212355.58</v>
      </c>
      <c r="J64" s="399" t="n">
        <v>-292519.05</v>
      </c>
      <c r="K64" s="399" t="n">
        <v>-450328.06</v>
      </c>
      <c r="L64" s="399" t="n">
        <v>-246565.55</v>
      </c>
      <c r="M64" s="399" t="n">
        <v>-208840.6</v>
      </c>
      <c r="N64" s="399" t="n">
        <v>-279911.11</v>
      </c>
      <c r="O64" s="399" t="n">
        <v>-246649.63</v>
      </c>
      <c r="P64" s="399" t="n">
        <v>-95976.7</v>
      </c>
      <c r="Q64" s="399" t="n">
        <v>-110015.5</v>
      </c>
      <c r="R64" s="399" t="n">
        <v>-53831.42</v>
      </c>
      <c r="S64" s="399" t="n">
        <v>-15804.6</v>
      </c>
      <c r="T64" s="399" t="n">
        <v>0</v>
      </c>
      <c r="U64" s="399" t="n">
        <v>0</v>
      </c>
      <c r="V64" s="399" t="n">
        <v>0</v>
      </c>
      <c r="W64" s="399" t="n">
        <v>0</v>
      </c>
      <c r="X64" s="399" t="n">
        <v>0</v>
      </c>
      <c r="Y64" s="399" t="n">
        <v>0</v>
      </c>
      <c r="Z64" s="399" t="n">
        <v>0</v>
      </c>
      <c r="AA64" s="399" t="n">
        <v>0</v>
      </c>
      <c r="AB64" s="399" t="n">
        <v>0</v>
      </c>
      <c r="AC64" s="399" t="n">
        <v>0</v>
      </c>
      <c r="AD64" s="399" t="n">
        <v>0</v>
      </c>
      <c r="AE64" s="399" t="n">
        <v>0</v>
      </c>
      <c r="AF64" s="399" t="n">
        <v>0</v>
      </c>
      <c r="AG64" s="399" t="n">
        <v>0</v>
      </c>
      <c r="AH64" s="399" t="n">
        <v>0</v>
      </c>
      <c r="AI64" s="399" t="n">
        <v>0</v>
      </c>
      <c r="AJ64" s="399" t="n">
        <v>0</v>
      </c>
      <c r="AK64" s="399" t="n">
        <v>0</v>
      </c>
      <c r="AL64" s="399" t="n">
        <v>0</v>
      </c>
      <c r="AM64" s="399" t="n">
        <v>0</v>
      </c>
      <c r="AN64" s="399" t="n">
        <v>0</v>
      </c>
      <c r="AO64" s="399" t="n">
        <v>0</v>
      </c>
      <c r="AP64" s="399" t="n">
        <v>0</v>
      </c>
      <c r="AQ64" s="399" t="n">
        <v>0</v>
      </c>
      <c r="AR64" s="399" t="n">
        <v>0</v>
      </c>
      <c r="AS64" s="399" t="n">
        <v>0</v>
      </c>
      <c r="AT64" s="399" t="n">
        <v>0</v>
      </c>
      <c r="AU64" s="399" t="n">
        <v>0</v>
      </c>
      <c r="AV64" s="399" t="n">
        <v>0</v>
      </c>
      <c r="AW64" s="399" t="n">
        <v>0</v>
      </c>
      <c r="AX64" s="399" t="n">
        <v>0</v>
      </c>
      <c r="AY64" s="399" t="n">
        <v>0</v>
      </c>
      <c r="AZ64" s="399" t="n">
        <v>0</v>
      </c>
      <c r="BA64" s="399" t="n">
        <v>0</v>
      </c>
      <c r="BB64" s="399" t="n">
        <v>0</v>
      </c>
      <c r="BC64" s="399" t="n">
        <v>0</v>
      </c>
      <c r="BD64" s="399" t="n">
        <v>0</v>
      </c>
      <c r="BE64" s="399" t="n">
        <v>0</v>
      </c>
      <c r="BF64" s="399" t="n">
        <v>0</v>
      </c>
      <c r="BG64" s="399" t="n">
        <v>0</v>
      </c>
      <c r="BH64" s="399" t="n">
        <v>0</v>
      </c>
      <c r="BI64" s="399" t="n">
        <v>0</v>
      </c>
      <c r="BJ64" s="399" t="n">
        <v>0</v>
      </c>
      <c r="BK64" s="399" t="n">
        <v>0</v>
      </c>
      <c r="BL64" s="399" t="n">
        <v>0</v>
      </c>
      <c r="BM64" s="399" t="n">
        <v>0</v>
      </c>
      <c r="BN64" s="399" t="n">
        <v>0</v>
      </c>
      <c r="BO64" s="399" t="n">
        <v>0</v>
      </c>
      <c r="BP64" s="399" t="n">
        <v>0</v>
      </c>
      <c r="BQ64" s="399" t="n">
        <v>0</v>
      </c>
      <c r="BR64" s="399" t="n">
        <v>0</v>
      </c>
      <c r="BS64" s="399" t="n">
        <v>0</v>
      </c>
      <c r="BT64" s="399" t="n">
        <v>0</v>
      </c>
      <c r="BU64" s="399" t="n">
        <v>0</v>
      </c>
      <c r="BV64" s="399" t="n">
        <v>0</v>
      </c>
      <c r="BW64" s="399" t="n">
        <v>0</v>
      </c>
      <c r="BX64" s="399" t="n">
        <v>0</v>
      </c>
      <c r="BY64" s="399" t="n">
        <v>0</v>
      </c>
      <c r="BZ64" s="399" t="n">
        <v>0</v>
      </c>
      <c r="CA64" s="399" t="n">
        <v>0</v>
      </c>
      <c r="CB64" s="399" t="n">
        <v>0</v>
      </c>
      <c r="CC64" s="399" t="n">
        <v>0</v>
      </c>
      <c r="CD64" s="399" t="n">
        <v>0</v>
      </c>
      <c r="CE64" s="399" t="n">
        <v>0</v>
      </c>
      <c r="CF64" s="399" t="n">
        <v>0</v>
      </c>
      <c r="CG64" s="399" t="n">
        <v>0</v>
      </c>
      <c r="CH64" s="399" t="n">
        <v>0</v>
      </c>
      <c r="CI64" s="399" t="n">
        <v>0</v>
      </c>
      <c r="CJ64" s="399" t="n">
        <v>0</v>
      </c>
      <c r="CK64" s="399" t="n">
        <v>0</v>
      </c>
      <c r="CL64" s="399" t="n">
        <v>0</v>
      </c>
      <c r="CM64" s="399" t="n">
        <v>0</v>
      </c>
      <c r="CN64" s="399" t="n">
        <v>0</v>
      </c>
      <c r="CO64" s="399" t="n">
        <v>0</v>
      </c>
      <c r="CP64" s="399" t="n">
        <v>0</v>
      </c>
      <c r="CQ64" s="399" t="n">
        <v>0</v>
      </c>
      <c r="CR64" s="399" t="n">
        <v>0</v>
      </c>
      <c r="CS64" s="399" t="n">
        <v>0</v>
      </c>
      <c r="CT64" s="399" t="n">
        <v>0</v>
      </c>
      <c r="CU64" s="399" t="n">
        <v>0</v>
      </c>
      <c r="CV64" s="399" t="n">
        <v>0</v>
      </c>
      <c r="CW64" s="399" t="n">
        <v>0</v>
      </c>
      <c r="CX64" s="399" t="n">
        <v>0</v>
      </c>
      <c r="CY64" s="399" t="n">
        <v>0</v>
      </c>
      <c r="CZ64" s="399" t="n">
        <v>0</v>
      </c>
      <c r="DA64" s="399" t="n">
        <v>0</v>
      </c>
      <c r="DB64" s="399" t="n">
        <v>0</v>
      </c>
      <c r="DC64" s="399" t="n">
        <v>0</v>
      </c>
      <c r="DD64" s="399" t="n">
        <v>0</v>
      </c>
      <c r="DE64" s="399" t="n">
        <v>0</v>
      </c>
    </row>
    <row r="65" hidden="1" outlineLevel="1" ht="15" customFormat="1" customHeight="1" s="380">
      <c r="A65" s="407" t="inlineStr">
        <is>
          <t>Francis</t>
        </is>
      </c>
      <c r="B65" s="399" t="n">
        <v>-2000</v>
      </c>
      <c r="C65" s="399" t="n">
        <v>0</v>
      </c>
      <c r="D65" s="399" t="n">
        <v>0</v>
      </c>
      <c r="E65" s="399" t="n">
        <v>0</v>
      </c>
      <c r="F65" s="399" t="n">
        <v>-8000</v>
      </c>
      <c r="G65" s="399" t="n">
        <v>-5130</v>
      </c>
      <c r="H65" s="399" t="n">
        <v>-7159</v>
      </c>
      <c r="I65" s="399" t="n">
        <v>-309349.13</v>
      </c>
      <c r="J65" s="399" t="n">
        <v>-734627.75</v>
      </c>
      <c r="K65" s="399" t="n">
        <v>-1031862.26</v>
      </c>
      <c r="L65" s="399" t="n">
        <v>-670762.14</v>
      </c>
      <c r="M65" s="399" t="n">
        <v>-502701.41</v>
      </c>
      <c r="N65" s="399" t="n">
        <v>-640423.23</v>
      </c>
      <c r="O65" s="399" t="n">
        <v>-518087.99</v>
      </c>
      <c r="P65" s="399" t="n">
        <v>-625083.61</v>
      </c>
      <c r="Q65" s="399" t="n">
        <v>-527941.35</v>
      </c>
      <c r="R65" s="399" t="n">
        <v>-648842.42</v>
      </c>
      <c r="S65" s="399" t="n">
        <v>-609836.71</v>
      </c>
      <c r="T65" s="399" t="n">
        <v>-1093856.58</v>
      </c>
      <c r="U65" s="399" t="n">
        <v>-699027.38</v>
      </c>
      <c r="V65" s="399" t="n">
        <v>-2084550.48</v>
      </c>
      <c r="W65" s="399" t="n">
        <v>-1316830.2</v>
      </c>
      <c r="X65" s="399" t="n">
        <v>-2704840.19</v>
      </c>
      <c r="Y65" s="399" t="n">
        <v>-1557426.69</v>
      </c>
      <c r="Z65" s="399" t="n">
        <v>-2453634.53</v>
      </c>
      <c r="AA65" s="399" t="n">
        <v>-2048866.16</v>
      </c>
      <c r="AB65" s="399" t="n">
        <v>-1396684.5</v>
      </c>
      <c r="AC65" s="399" t="n">
        <v>-883896.92</v>
      </c>
      <c r="AD65" s="399" t="n">
        <v>-1046686.92</v>
      </c>
      <c r="AE65" s="399" t="n">
        <v>-982365.21</v>
      </c>
      <c r="AF65" s="399" t="n">
        <v>-1214791.02</v>
      </c>
      <c r="AG65" s="399" t="n">
        <v>-2109626.22</v>
      </c>
      <c r="AH65" s="399" t="n">
        <v>-1957875.93</v>
      </c>
      <c r="AI65" s="399" t="n">
        <v>-1914132.66</v>
      </c>
      <c r="AJ65" s="399" t="n">
        <v>-1044319.92</v>
      </c>
      <c r="AK65" s="399" t="n">
        <v>-866931.3</v>
      </c>
      <c r="AL65" s="399" t="n">
        <v>-968436.51</v>
      </c>
      <c r="AM65" s="399" t="n">
        <v>-1052717.22</v>
      </c>
      <c r="AN65" s="399" t="n">
        <v>-283224.47</v>
      </c>
      <c r="AO65" s="399" t="n">
        <v>0</v>
      </c>
      <c r="AP65" s="399" t="n">
        <v>0</v>
      </c>
      <c r="AQ65" s="399" t="n">
        <v>0</v>
      </c>
      <c r="AR65" s="399" t="n">
        <v>0</v>
      </c>
      <c r="AS65" s="399" t="n">
        <v>0</v>
      </c>
      <c r="AT65" s="399" t="n">
        <v>0</v>
      </c>
      <c r="AU65" s="399" t="n">
        <v>0</v>
      </c>
      <c r="AV65" s="399" t="n">
        <v>0</v>
      </c>
      <c r="AW65" s="399" t="n">
        <v>0</v>
      </c>
      <c r="AX65" s="399" t="n">
        <v>0</v>
      </c>
      <c r="AY65" s="399" t="n">
        <v>0</v>
      </c>
      <c r="AZ65" s="399" t="n">
        <v>0</v>
      </c>
      <c r="BA65" s="399" t="n">
        <v>0</v>
      </c>
      <c r="BB65" s="399" t="n">
        <v>0</v>
      </c>
      <c r="BC65" s="399" t="n">
        <v>0</v>
      </c>
      <c r="BD65" s="399" t="n">
        <v>0</v>
      </c>
      <c r="BE65" s="399" t="n">
        <v>0</v>
      </c>
      <c r="BF65" s="399" t="n">
        <v>0</v>
      </c>
      <c r="BG65" s="399" t="n">
        <v>0</v>
      </c>
      <c r="BH65" s="399" t="n">
        <v>0</v>
      </c>
      <c r="BI65" s="399" t="n">
        <v>0</v>
      </c>
      <c r="BJ65" s="399" t="n">
        <v>0</v>
      </c>
      <c r="BK65" s="399" t="n">
        <v>0</v>
      </c>
      <c r="BL65" s="399" t="n">
        <v>0</v>
      </c>
      <c r="BM65" s="399" t="n">
        <v>0</v>
      </c>
      <c r="BN65" s="399" t="n">
        <v>0</v>
      </c>
      <c r="BO65" s="399" t="n">
        <v>0</v>
      </c>
      <c r="BP65" s="399" t="n">
        <v>0</v>
      </c>
      <c r="BQ65" s="399" t="n">
        <v>0</v>
      </c>
      <c r="BR65" s="399" t="n">
        <v>0</v>
      </c>
      <c r="BS65" s="399" t="n">
        <v>0</v>
      </c>
      <c r="BT65" s="399" t="n">
        <v>0</v>
      </c>
      <c r="BU65" s="399" t="n">
        <v>0</v>
      </c>
      <c r="BV65" s="399" t="n">
        <v>0</v>
      </c>
      <c r="BW65" s="399" t="n">
        <v>0</v>
      </c>
      <c r="BX65" s="399" t="n">
        <v>0</v>
      </c>
      <c r="BY65" s="399" t="n">
        <v>0</v>
      </c>
      <c r="BZ65" s="399" t="n">
        <v>0</v>
      </c>
      <c r="CA65" s="399" t="n">
        <v>0</v>
      </c>
      <c r="CB65" s="399" t="n">
        <v>0</v>
      </c>
      <c r="CC65" s="399" t="n">
        <v>0</v>
      </c>
      <c r="CD65" s="399" t="n">
        <v>0</v>
      </c>
      <c r="CE65" s="399" t="n">
        <v>0</v>
      </c>
      <c r="CF65" s="399" t="n">
        <v>0</v>
      </c>
      <c r="CG65" s="399" t="n">
        <v>0</v>
      </c>
      <c r="CH65" s="399" t="n">
        <v>0</v>
      </c>
      <c r="CI65" s="399" t="n">
        <v>0</v>
      </c>
      <c r="CJ65" s="399" t="n">
        <v>0</v>
      </c>
      <c r="CK65" s="399" t="n">
        <v>0</v>
      </c>
      <c r="CL65" s="399" t="n">
        <v>0</v>
      </c>
      <c r="CM65" s="399" t="n">
        <v>0</v>
      </c>
      <c r="CN65" s="399" t="n">
        <v>0</v>
      </c>
      <c r="CO65" s="399" t="n">
        <v>0</v>
      </c>
      <c r="CP65" s="399" t="n">
        <v>0</v>
      </c>
      <c r="CQ65" s="399" t="n">
        <v>0</v>
      </c>
      <c r="CR65" s="399" t="n">
        <v>0</v>
      </c>
      <c r="CS65" s="399" t="n">
        <v>0</v>
      </c>
      <c r="CT65" s="399" t="n">
        <v>0</v>
      </c>
      <c r="CU65" s="399" t="n">
        <v>0</v>
      </c>
      <c r="CV65" s="399" t="n">
        <v>0</v>
      </c>
      <c r="CW65" s="399" t="n">
        <v>0</v>
      </c>
      <c r="CX65" s="399" t="n">
        <v>0</v>
      </c>
      <c r="CY65" s="399" t="n">
        <v>0</v>
      </c>
      <c r="CZ65" s="399" t="n">
        <v>0</v>
      </c>
      <c r="DA65" s="399" t="n">
        <v>0</v>
      </c>
      <c r="DB65" s="399" t="n">
        <v>0</v>
      </c>
      <c r="DC65" s="399" t="n">
        <v>0</v>
      </c>
      <c r="DD65" s="399" t="n">
        <v>0</v>
      </c>
      <c r="DE65" s="399" t="n">
        <v>0</v>
      </c>
    </row>
    <row r="66" hidden="1" outlineLevel="1" ht="15" customFormat="1" customHeight="1" s="380">
      <c r="A66" s="407" t="inlineStr">
        <is>
          <t>Lexington</t>
        </is>
      </c>
      <c r="B66" s="399" t="n">
        <v>0</v>
      </c>
      <c r="C66" s="399" t="n">
        <v>0</v>
      </c>
      <c r="D66" s="399" t="n">
        <v>0</v>
      </c>
      <c r="E66" s="399" t="n">
        <v>0</v>
      </c>
      <c r="F66" s="399">
        <f>-F19</f>
        <v/>
      </c>
      <c r="G66" s="399">
        <f>-G19</f>
        <v/>
      </c>
      <c r="H66" s="399">
        <f>-H19</f>
        <v/>
      </c>
      <c r="I66" s="399">
        <f>-I19</f>
        <v/>
      </c>
      <c r="J66" s="399">
        <f>-J19</f>
        <v/>
      </c>
      <c r="K66" s="399">
        <f>-K19</f>
        <v/>
      </c>
      <c r="L66" s="399">
        <f>-L19</f>
        <v/>
      </c>
      <c r="M66" s="399">
        <f>-M19</f>
        <v/>
      </c>
      <c r="N66" s="399">
        <f>-N19</f>
        <v/>
      </c>
      <c r="O66" s="399">
        <f>-O19</f>
        <v/>
      </c>
      <c r="P66" s="399">
        <f>-P19</f>
        <v/>
      </c>
      <c r="Q66" s="399">
        <f>-Q19</f>
        <v/>
      </c>
      <c r="R66" s="399">
        <f>-R19</f>
        <v/>
      </c>
      <c r="S66" s="399">
        <f>-S19</f>
        <v/>
      </c>
      <c r="T66" s="399">
        <f>-T19</f>
        <v/>
      </c>
      <c r="U66" s="399">
        <f>-U19</f>
        <v/>
      </c>
      <c r="V66" s="399">
        <f>-V19</f>
        <v/>
      </c>
      <c r="W66" s="399">
        <f>-W19</f>
        <v/>
      </c>
      <c r="X66" s="399">
        <f>-X19</f>
        <v/>
      </c>
      <c r="Y66" s="399">
        <f>-Y19</f>
        <v/>
      </c>
      <c r="Z66" s="399">
        <f>-Z19</f>
        <v/>
      </c>
      <c r="AA66" s="399">
        <f>-AA19</f>
        <v/>
      </c>
      <c r="AB66" s="399">
        <f>-AB19</f>
        <v/>
      </c>
      <c r="AC66" s="399">
        <f>-AC19</f>
        <v/>
      </c>
      <c r="AD66" s="399">
        <f>-AD19</f>
        <v/>
      </c>
      <c r="AE66" s="399">
        <f>-AE19</f>
        <v/>
      </c>
      <c r="AF66" s="399">
        <f>-AF19</f>
        <v/>
      </c>
      <c r="AG66" s="399">
        <f>-AG19</f>
        <v/>
      </c>
      <c r="AH66" s="399">
        <f>-AH19</f>
        <v/>
      </c>
      <c r="AI66" s="399">
        <f>-AI19</f>
        <v/>
      </c>
      <c r="AJ66" s="399">
        <f>-AJ19</f>
        <v/>
      </c>
      <c r="AK66" s="399">
        <f>-AK19</f>
        <v/>
      </c>
      <c r="AL66" s="399">
        <f>-AL19</f>
        <v/>
      </c>
      <c r="AM66" s="399">
        <f>-AM19</f>
        <v/>
      </c>
      <c r="AN66" s="399">
        <f>-AN19</f>
        <v/>
      </c>
      <c r="AO66" s="399">
        <f>-AO19</f>
        <v/>
      </c>
      <c r="AP66" s="399">
        <f>-AP19</f>
        <v/>
      </c>
      <c r="AQ66" s="399">
        <f>-AQ19</f>
        <v/>
      </c>
      <c r="AR66" s="399">
        <f>-AR19</f>
        <v/>
      </c>
      <c r="AS66" s="399">
        <f>-AS19</f>
        <v/>
      </c>
      <c r="AT66" s="399">
        <f>-AT19</f>
        <v/>
      </c>
      <c r="AU66" s="399">
        <f>-AU19</f>
        <v/>
      </c>
      <c r="AV66" s="399">
        <f>-AV19</f>
        <v/>
      </c>
      <c r="AW66" s="399">
        <f>-AW19</f>
        <v/>
      </c>
      <c r="AX66" s="399">
        <f>-AX19</f>
        <v/>
      </c>
      <c r="AY66" s="399">
        <f>-AY19</f>
        <v/>
      </c>
      <c r="AZ66" s="399">
        <f>-AZ19</f>
        <v/>
      </c>
      <c r="BA66" s="399">
        <f>-BA19</f>
        <v/>
      </c>
      <c r="BB66" s="399">
        <f>-BB19</f>
        <v/>
      </c>
      <c r="BC66" s="399">
        <f>-BC19</f>
        <v/>
      </c>
      <c r="BD66" s="399">
        <f>-BD19</f>
        <v/>
      </c>
      <c r="BE66" s="399">
        <f>-BE19</f>
        <v/>
      </c>
      <c r="BF66" s="399">
        <f>-BF19</f>
        <v/>
      </c>
      <c r="BG66" s="399">
        <f>-BG19</f>
        <v/>
      </c>
      <c r="BH66" s="399">
        <f>-BH19</f>
        <v/>
      </c>
      <c r="BI66" s="399">
        <f>-BI19</f>
        <v/>
      </c>
      <c r="BJ66" s="399">
        <f>-BJ19</f>
        <v/>
      </c>
      <c r="BK66" s="399">
        <f>-BK19</f>
        <v/>
      </c>
      <c r="BL66" s="399">
        <f>-BL19</f>
        <v/>
      </c>
      <c r="BM66" s="399">
        <f>-BM19</f>
        <v/>
      </c>
      <c r="BN66" s="399">
        <f>-BN19</f>
        <v/>
      </c>
      <c r="BO66" s="399">
        <f>-BO19</f>
        <v/>
      </c>
      <c r="BP66" s="399">
        <f>-BP19</f>
        <v/>
      </c>
      <c r="BQ66" s="399">
        <f>-BQ19</f>
        <v/>
      </c>
      <c r="BR66" s="399">
        <f>-BR19</f>
        <v/>
      </c>
      <c r="BS66" s="399">
        <f>-BS19</f>
        <v/>
      </c>
      <c r="BT66" s="399">
        <f>-BT19</f>
        <v/>
      </c>
      <c r="BU66" s="399">
        <f>-BU19</f>
        <v/>
      </c>
      <c r="BV66" s="399">
        <f>-BV19</f>
        <v/>
      </c>
      <c r="BW66" s="399">
        <f>-BW19</f>
        <v/>
      </c>
      <c r="BX66" s="399">
        <f>-BX19</f>
        <v/>
      </c>
      <c r="BY66" s="399">
        <f>-BY19</f>
        <v/>
      </c>
      <c r="BZ66" s="399">
        <f>-BZ19</f>
        <v/>
      </c>
      <c r="CA66" s="399">
        <f>-CA19</f>
        <v/>
      </c>
      <c r="CB66" s="399">
        <f>-CB19</f>
        <v/>
      </c>
      <c r="CC66" s="399">
        <f>-CC19</f>
        <v/>
      </c>
      <c r="CD66" s="399">
        <f>-CD19</f>
        <v/>
      </c>
      <c r="CE66" s="399">
        <f>-CE19</f>
        <v/>
      </c>
      <c r="CF66" s="399">
        <f>-CF19</f>
        <v/>
      </c>
      <c r="CG66" s="399">
        <f>-CG19</f>
        <v/>
      </c>
      <c r="CH66" s="399">
        <f>-CH19</f>
        <v/>
      </c>
      <c r="CI66" s="399">
        <f>-CI19</f>
        <v/>
      </c>
      <c r="CJ66" s="399">
        <f>-CJ19</f>
        <v/>
      </c>
      <c r="CK66" s="399">
        <f>-CK19</f>
        <v/>
      </c>
      <c r="CL66" s="399">
        <f>-CL19</f>
        <v/>
      </c>
      <c r="CM66" s="399">
        <f>-CM19</f>
        <v/>
      </c>
      <c r="CN66" s="399">
        <f>-CN19</f>
        <v/>
      </c>
      <c r="CO66" s="399">
        <f>-CO19</f>
        <v/>
      </c>
      <c r="CP66" s="399">
        <f>-CP19</f>
        <v/>
      </c>
      <c r="CQ66" s="399">
        <f>-CQ19</f>
        <v/>
      </c>
      <c r="CR66" s="399">
        <f>-CR19</f>
        <v/>
      </c>
      <c r="CS66" s="399">
        <f>-CS19</f>
        <v/>
      </c>
      <c r="CT66" s="399">
        <f>-CT19</f>
        <v/>
      </c>
      <c r="CU66" s="399">
        <f>-CU19</f>
        <v/>
      </c>
      <c r="CV66" s="399">
        <f>-CV19</f>
        <v/>
      </c>
      <c r="CW66" s="399">
        <f>-CW19</f>
        <v/>
      </c>
      <c r="CX66" s="399">
        <f>-CX19</f>
        <v/>
      </c>
      <c r="CY66" s="399">
        <f>-CY19</f>
        <v/>
      </c>
      <c r="CZ66" s="399">
        <f>-CZ19</f>
        <v/>
      </c>
      <c r="DA66" s="399">
        <f>-DA19</f>
        <v/>
      </c>
      <c r="DB66" s="399">
        <f>-DB19</f>
        <v/>
      </c>
      <c r="DC66" s="399">
        <f>-DC19</f>
        <v/>
      </c>
      <c r="DD66" s="399">
        <f>-DD19</f>
        <v/>
      </c>
      <c r="DE66" s="399">
        <f>-DE19</f>
        <v/>
      </c>
    </row>
    <row r="67" hidden="1" outlineLevel="1" ht="15" customFormat="1" customHeight="1" s="380">
      <c r="A67" s="407" t="inlineStr">
        <is>
          <t>Denny</t>
        </is>
      </c>
      <c r="B67" s="399" t="n">
        <v>0</v>
      </c>
      <c r="C67" s="399" t="n">
        <v>0</v>
      </c>
      <c r="D67" s="399" t="n">
        <v>0</v>
      </c>
      <c r="E67" s="399" t="n">
        <v>0</v>
      </c>
      <c r="F67" s="399">
        <f>-F20</f>
        <v/>
      </c>
      <c r="G67" s="399">
        <f>-G20</f>
        <v/>
      </c>
      <c r="H67" s="399">
        <f>-H20</f>
        <v/>
      </c>
      <c r="I67" s="399">
        <f>-I20</f>
        <v/>
      </c>
      <c r="J67" s="399">
        <f>-J20</f>
        <v/>
      </c>
      <c r="K67" s="399">
        <f>-K20</f>
        <v/>
      </c>
      <c r="L67" s="399">
        <f>-L20</f>
        <v/>
      </c>
      <c r="M67" s="399">
        <f>-M20</f>
        <v/>
      </c>
      <c r="N67" s="399">
        <f>-N20</f>
        <v/>
      </c>
      <c r="O67" s="399">
        <f>-O20</f>
        <v/>
      </c>
      <c r="P67" s="399">
        <f>-P20</f>
        <v/>
      </c>
      <c r="Q67" s="399">
        <f>-Q20</f>
        <v/>
      </c>
      <c r="R67" s="399">
        <f>-R20</f>
        <v/>
      </c>
      <c r="S67" s="399">
        <f>-S20</f>
        <v/>
      </c>
      <c r="T67" s="399">
        <f>-T20</f>
        <v/>
      </c>
      <c r="U67" s="399">
        <f>-U20</f>
        <v/>
      </c>
      <c r="V67" s="399">
        <f>-V20</f>
        <v/>
      </c>
      <c r="W67" s="399">
        <f>-W20</f>
        <v/>
      </c>
      <c r="X67" s="399">
        <f>-X20</f>
        <v/>
      </c>
      <c r="Y67" s="399">
        <f>-Y20</f>
        <v/>
      </c>
      <c r="Z67" s="399">
        <f>-Z20</f>
        <v/>
      </c>
      <c r="AA67" s="399">
        <f>-AA20</f>
        <v/>
      </c>
      <c r="AB67" s="399">
        <f>-AB20</f>
        <v/>
      </c>
      <c r="AC67" s="399">
        <f>-AC20</f>
        <v/>
      </c>
      <c r="AD67" s="399">
        <f>-AD20</f>
        <v/>
      </c>
      <c r="AE67" s="399">
        <f>-AE20</f>
        <v/>
      </c>
      <c r="AF67" s="399">
        <f>-AF20</f>
        <v/>
      </c>
      <c r="AG67" s="399">
        <f>-AG20</f>
        <v/>
      </c>
      <c r="AH67" s="399">
        <f>-AH20</f>
        <v/>
      </c>
      <c r="AI67" s="399">
        <f>-AI20</f>
        <v/>
      </c>
      <c r="AJ67" s="399">
        <f>-AJ20</f>
        <v/>
      </c>
      <c r="AK67" s="399">
        <f>-AK20</f>
        <v/>
      </c>
      <c r="AL67" s="399">
        <f>-AL20</f>
        <v/>
      </c>
      <c r="AM67" s="399">
        <f>-AM20</f>
        <v/>
      </c>
      <c r="AN67" s="399">
        <f>-AN20</f>
        <v/>
      </c>
      <c r="AO67" s="399">
        <f>-AO20</f>
        <v/>
      </c>
      <c r="AP67" s="399">
        <f>-AP20</f>
        <v/>
      </c>
      <c r="AQ67" s="399">
        <f>-AQ20</f>
        <v/>
      </c>
      <c r="AR67" s="399">
        <f>-AR20</f>
        <v/>
      </c>
      <c r="AS67" s="399">
        <f>-AS20</f>
        <v/>
      </c>
      <c r="AT67" s="399">
        <f>-AT20</f>
        <v/>
      </c>
      <c r="AU67" s="399">
        <f>-AU20</f>
        <v/>
      </c>
      <c r="AV67" s="399">
        <f>-AV20</f>
        <v/>
      </c>
      <c r="AW67" s="399">
        <f>-AW20</f>
        <v/>
      </c>
      <c r="AX67" s="399">
        <f>-AX20</f>
        <v/>
      </c>
      <c r="AY67" s="399">
        <f>-AY20</f>
        <v/>
      </c>
      <c r="AZ67" s="399">
        <f>-AZ20</f>
        <v/>
      </c>
      <c r="BA67" s="399">
        <f>-BA20</f>
        <v/>
      </c>
      <c r="BB67" s="399">
        <f>-BB20</f>
        <v/>
      </c>
      <c r="BC67" s="399">
        <f>-BC20</f>
        <v/>
      </c>
      <c r="BD67" s="399">
        <f>-BD20</f>
        <v/>
      </c>
      <c r="BE67" s="399">
        <f>-BE20</f>
        <v/>
      </c>
      <c r="BF67" s="399">
        <f>-BF20</f>
        <v/>
      </c>
      <c r="BG67" s="399">
        <f>-BG20</f>
        <v/>
      </c>
      <c r="BH67" s="399">
        <f>-BH20</f>
        <v/>
      </c>
      <c r="BI67" s="399">
        <f>-BI20</f>
        <v/>
      </c>
      <c r="BJ67" s="399">
        <f>-BJ20</f>
        <v/>
      </c>
      <c r="BK67" s="399">
        <f>-BK20</f>
        <v/>
      </c>
      <c r="BL67" s="399">
        <f>-BL20</f>
        <v/>
      </c>
      <c r="BM67" s="399">
        <f>-BM20</f>
        <v/>
      </c>
      <c r="BN67" s="399">
        <f>-BN20</f>
        <v/>
      </c>
      <c r="BO67" s="399">
        <f>-BO20</f>
        <v/>
      </c>
      <c r="BP67" s="399">
        <f>-BP20</f>
        <v/>
      </c>
      <c r="BQ67" s="399">
        <f>-BQ20</f>
        <v/>
      </c>
      <c r="BR67" s="399">
        <f>-BR20</f>
        <v/>
      </c>
      <c r="BS67" s="399">
        <f>-BS20</f>
        <v/>
      </c>
      <c r="BT67" s="399">
        <f>-BT20</f>
        <v/>
      </c>
      <c r="BU67" s="399">
        <f>-BU20</f>
        <v/>
      </c>
      <c r="BV67" s="399">
        <f>-BV20</f>
        <v/>
      </c>
      <c r="BW67" s="399">
        <f>-BW20</f>
        <v/>
      </c>
      <c r="BX67" s="399">
        <f>-BX20</f>
        <v/>
      </c>
      <c r="BY67" s="399">
        <f>-BY20</f>
        <v/>
      </c>
      <c r="BZ67" s="399">
        <f>-BZ20</f>
        <v/>
      </c>
      <c r="CA67" s="399">
        <f>-CA20</f>
        <v/>
      </c>
      <c r="CB67" s="399">
        <f>-CB20</f>
        <v/>
      </c>
      <c r="CC67" s="399">
        <f>-CC20</f>
        <v/>
      </c>
      <c r="CD67" s="399">
        <f>-CD20</f>
        <v/>
      </c>
      <c r="CE67" s="399">
        <f>-CE20</f>
        <v/>
      </c>
      <c r="CF67" s="399">
        <f>-CF20</f>
        <v/>
      </c>
      <c r="CG67" s="399">
        <f>-CG20</f>
        <v/>
      </c>
      <c r="CH67" s="399">
        <f>-CH20</f>
        <v/>
      </c>
      <c r="CI67" s="399">
        <f>-CI20</f>
        <v/>
      </c>
      <c r="CJ67" s="399">
        <f>-CJ20</f>
        <v/>
      </c>
      <c r="CK67" s="399">
        <f>-CK20</f>
        <v/>
      </c>
      <c r="CL67" s="399">
        <f>-CL20</f>
        <v/>
      </c>
      <c r="CM67" s="399">
        <f>-CM20</f>
        <v/>
      </c>
      <c r="CN67" s="399">
        <f>-CN20</f>
        <v/>
      </c>
      <c r="CO67" s="399">
        <f>-CO20</f>
        <v/>
      </c>
      <c r="CP67" s="399">
        <f>-CP20</f>
        <v/>
      </c>
      <c r="CQ67" s="399">
        <f>-CQ20</f>
        <v/>
      </c>
      <c r="CR67" s="399">
        <f>-CR20</f>
        <v/>
      </c>
      <c r="CS67" s="399">
        <f>-CS20</f>
        <v/>
      </c>
      <c r="CT67" s="399">
        <f>-CT20</f>
        <v/>
      </c>
      <c r="CU67" s="399">
        <f>-CU20</f>
        <v/>
      </c>
      <c r="CV67" s="399">
        <f>-CV20</f>
        <v/>
      </c>
      <c r="CW67" s="399">
        <f>-CW20</f>
        <v/>
      </c>
      <c r="CX67" s="399">
        <f>-CX20</f>
        <v/>
      </c>
      <c r="CY67" s="399">
        <f>-CY20</f>
        <v/>
      </c>
      <c r="CZ67" s="399">
        <f>-CZ20</f>
        <v/>
      </c>
      <c r="DA67" s="399">
        <f>-DA20</f>
        <v/>
      </c>
      <c r="DB67" s="399">
        <f>-DB20</f>
        <v/>
      </c>
      <c r="DC67" s="399">
        <f>-DC20</f>
        <v/>
      </c>
      <c r="DD67" s="399">
        <f>-DD20</f>
        <v/>
      </c>
      <c r="DE67" s="399">
        <f>-DE20</f>
        <v/>
      </c>
    </row>
    <row r="68" hidden="1" outlineLevel="1" ht="15" customFormat="1" customHeight="1" s="380">
      <c r="A68" s="407" t="inlineStr">
        <is>
          <t>Acama</t>
        </is>
      </c>
      <c r="B68" s="399" t="n">
        <v>0</v>
      </c>
      <c r="C68" s="399" t="n">
        <v>0</v>
      </c>
      <c r="D68" s="399" t="n">
        <v>0</v>
      </c>
      <c r="E68" s="399" t="n">
        <v>0</v>
      </c>
      <c r="F68" s="399" t="n">
        <v>-50</v>
      </c>
      <c r="G68" s="399" t="n">
        <v>-5164</v>
      </c>
      <c r="H68" s="399" t="n">
        <v>5164</v>
      </c>
      <c r="I68" s="399">
        <f>-I21</f>
        <v/>
      </c>
      <c r="J68" s="399">
        <f>-J21</f>
        <v/>
      </c>
      <c r="K68" s="399">
        <f>-K21</f>
        <v/>
      </c>
      <c r="L68" s="399">
        <f>-L21</f>
        <v/>
      </c>
      <c r="M68" s="399">
        <f>-M21</f>
        <v/>
      </c>
      <c r="N68" s="399">
        <f>-N21</f>
        <v/>
      </c>
      <c r="O68" s="399">
        <f>-O21</f>
        <v/>
      </c>
      <c r="P68" s="399">
        <f>-P21</f>
        <v/>
      </c>
      <c r="Q68" s="399">
        <f>-Q21</f>
        <v/>
      </c>
      <c r="R68" s="399">
        <f>-R21</f>
        <v/>
      </c>
      <c r="S68" s="399">
        <f>-S21</f>
        <v/>
      </c>
      <c r="T68" s="399">
        <f>-T21</f>
        <v/>
      </c>
      <c r="U68" s="399">
        <f>-U21</f>
        <v/>
      </c>
      <c r="V68" s="399">
        <f>-V21</f>
        <v/>
      </c>
      <c r="W68" s="399">
        <f>-W21</f>
        <v/>
      </c>
      <c r="X68" s="399">
        <f>-X21</f>
        <v/>
      </c>
      <c r="Y68" s="399">
        <f>-Y21</f>
        <v/>
      </c>
      <c r="Z68" s="399">
        <f>-Z21</f>
        <v/>
      </c>
      <c r="AA68" s="399">
        <f>-AA21</f>
        <v/>
      </c>
      <c r="AB68" s="399">
        <f>-AB21</f>
        <v/>
      </c>
      <c r="AC68" s="399">
        <f>-AC21</f>
        <v/>
      </c>
      <c r="AD68" s="399">
        <f>-AD21</f>
        <v/>
      </c>
      <c r="AE68" s="399">
        <f>-AE21</f>
        <v/>
      </c>
      <c r="AF68" s="399">
        <f>-AF21</f>
        <v/>
      </c>
      <c r="AG68" s="399">
        <f>-AG21</f>
        <v/>
      </c>
      <c r="AH68" s="399">
        <f>-AH21</f>
        <v/>
      </c>
      <c r="AI68" s="399">
        <f>-AI21</f>
        <v/>
      </c>
      <c r="AJ68" s="399">
        <f>-AJ21</f>
        <v/>
      </c>
      <c r="AK68" s="399">
        <f>-AK21</f>
        <v/>
      </c>
      <c r="AL68" s="399">
        <f>-AL21</f>
        <v/>
      </c>
      <c r="AM68" s="399">
        <f>-AM21</f>
        <v/>
      </c>
      <c r="AN68" s="399">
        <f>-AN21</f>
        <v/>
      </c>
      <c r="AO68" s="399">
        <f>-AO21</f>
        <v/>
      </c>
      <c r="AP68" s="399">
        <f>-AP21</f>
        <v/>
      </c>
      <c r="AQ68" s="399">
        <f>-AQ21</f>
        <v/>
      </c>
      <c r="AR68" s="399">
        <f>-AR21</f>
        <v/>
      </c>
      <c r="AS68" s="399">
        <f>-AS21</f>
        <v/>
      </c>
      <c r="AT68" s="399">
        <f>-AT21</f>
        <v/>
      </c>
      <c r="AU68" s="399">
        <f>-AU21</f>
        <v/>
      </c>
      <c r="AV68" s="399">
        <f>-AV21</f>
        <v/>
      </c>
      <c r="AW68" s="399">
        <f>-AW21</f>
        <v/>
      </c>
      <c r="AX68" s="399">
        <f>-AX21</f>
        <v/>
      </c>
      <c r="AY68" s="399">
        <f>-AY21</f>
        <v/>
      </c>
      <c r="AZ68" s="399">
        <f>-AZ21</f>
        <v/>
      </c>
      <c r="BA68" s="399">
        <f>-BA21</f>
        <v/>
      </c>
      <c r="BB68" s="399">
        <f>-BB21</f>
        <v/>
      </c>
      <c r="BC68" s="399">
        <f>-BC21</f>
        <v/>
      </c>
      <c r="BD68" s="399">
        <f>-BD21</f>
        <v/>
      </c>
      <c r="BE68" s="399">
        <f>-BE21</f>
        <v/>
      </c>
      <c r="BF68" s="399">
        <f>-BF21</f>
        <v/>
      </c>
      <c r="BG68" s="399">
        <f>-BG21</f>
        <v/>
      </c>
      <c r="BH68" s="399">
        <f>-BH21</f>
        <v/>
      </c>
      <c r="BI68" s="399">
        <f>-BI21</f>
        <v/>
      </c>
      <c r="BJ68" s="399">
        <f>-BJ21</f>
        <v/>
      </c>
      <c r="BK68" s="399">
        <f>-BK21</f>
        <v/>
      </c>
      <c r="BL68" s="399">
        <f>-BL21</f>
        <v/>
      </c>
      <c r="BM68" s="399">
        <f>-BM21</f>
        <v/>
      </c>
      <c r="BN68" s="399">
        <f>-BN21</f>
        <v/>
      </c>
      <c r="BO68" s="399">
        <f>-BO21</f>
        <v/>
      </c>
      <c r="BP68" s="399">
        <f>-BP21</f>
        <v/>
      </c>
      <c r="BQ68" s="399">
        <f>-BQ21</f>
        <v/>
      </c>
      <c r="BR68" s="399">
        <f>-BR21</f>
        <v/>
      </c>
      <c r="BS68" s="399">
        <f>-BS21</f>
        <v/>
      </c>
      <c r="BT68" s="399">
        <f>-BT21</f>
        <v/>
      </c>
      <c r="BU68" s="399">
        <f>-BU21</f>
        <v/>
      </c>
      <c r="BV68" s="399">
        <f>-BV21</f>
        <v/>
      </c>
      <c r="BW68" s="399">
        <f>-BW21</f>
        <v/>
      </c>
      <c r="BX68" s="399">
        <f>-BX21</f>
        <v/>
      </c>
      <c r="BY68" s="399">
        <f>-BY21</f>
        <v/>
      </c>
      <c r="BZ68" s="399">
        <f>-BZ21</f>
        <v/>
      </c>
      <c r="CA68" s="399">
        <f>-CA21</f>
        <v/>
      </c>
      <c r="CB68" s="399">
        <f>-CB21</f>
        <v/>
      </c>
      <c r="CC68" s="399">
        <f>-CC21</f>
        <v/>
      </c>
      <c r="CD68" s="399">
        <f>-CD21</f>
        <v/>
      </c>
      <c r="CE68" s="399">
        <f>-CE21</f>
        <v/>
      </c>
      <c r="CF68" s="399">
        <f>-CF21</f>
        <v/>
      </c>
      <c r="CG68" s="399">
        <f>-CG21</f>
        <v/>
      </c>
      <c r="CH68" s="399">
        <f>-CH21</f>
        <v/>
      </c>
      <c r="CI68" s="399">
        <f>-CI21</f>
        <v/>
      </c>
      <c r="CJ68" s="399">
        <f>-CJ21</f>
        <v/>
      </c>
      <c r="CK68" s="399">
        <f>-CK21</f>
        <v/>
      </c>
      <c r="CL68" s="399">
        <f>-CL21</f>
        <v/>
      </c>
      <c r="CM68" s="399">
        <f>-CM21</f>
        <v/>
      </c>
      <c r="CN68" s="399">
        <f>-CN21</f>
        <v/>
      </c>
      <c r="CO68" s="399">
        <f>-CO21</f>
        <v/>
      </c>
      <c r="CP68" s="399">
        <f>-CP21</f>
        <v/>
      </c>
      <c r="CQ68" s="399">
        <f>-CQ21</f>
        <v/>
      </c>
      <c r="CR68" s="399">
        <f>-CR21</f>
        <v/>
      </c>
      <c r="CS68" s="399">
        <f>-CS21</f>
        <v/>
      </c>
      <c r="CT68" s="399">
        <f>-CT21</f>
        <v/>
      </c>
      <c r="CU68" s="399">
        <f>-CU21</f>
        <v/>
      </c>
      <c r="CV68" s="399">
        <f>-CV21</f>
        <v/>
      </c>
      <c r="CW68" s="399">
        <f>-CW21</f>
        <v/>
      </c>
      <c r="CX68" s="399">
        <f>-CX21</f>
        <v/>
      </c>
      <c r="CY68" s="399">
        <f>-CY21</f>
        <v/>
      </c>
      <c r="CZ68" s="399">
        <f>-CZ21</f>
        <v/>
      </c>
      <c r="DA68" s="399">
        <f>-DA21</f>
        <v/>
      </c>
      <c r="DB68" s="399">
        <f>-DB21</f>
        <v/>
      </c>
      <c r="DC68" s="399">
        <f>-DC21</f>
        <v/>
      </c>
      <c r="DD68" s="399">
        <f>-DD21</f>
        <v/>
      </c>
      <c r="DE68" s="399">
        <f>-DE21</f>
        <v/>
      </c>
    </row>
    <row r="69" hidden="1" outlineLevel="1" ht="15" customFormat="1" customHeight="1" s="380">
      <c r="A69" s="407" t="inlineStr">
        <is>
          <t>Klump</t>
        </is>
      </c>
      <c r="B69" s="399" t="n">
        <v>0</v>
      </c>
      <c r="C69" s="399" t="n">
        <v>0</v>
      </c>
      <c r="D69" s="399" t="n">
        <v>0</v>
      </c>
      <c r="E69" s="399" t="n">
        <v>0</v>
      </c>
      <c r="F69" s="399">
        <f>-F22</f>
        <v/>
      </c>
      <c r="G69" s="399">
        <f>-G22</f>
        <v/>
      </c>
      <c r="H69" s="399">
        <f>-H22</f>
        <v/>
      </c>
      <c r="I69" s="399">
        <f>-I22</f>
        <v/>
      </c>
      <c r="J69" s="399">
        <f>-J22</f>
        <v/>
      </c>
      <c r="K69" s="399">
        <f>-K22</f>
        <v/>
      </c>
      <c r="L69" s="399">
        <f>-L22</f>
        <v/>
      </c>
      <c r="M69" s="399">
        <f>-M22</f>
        <v/>
      </c>
      <c r="N69" s="399">
        <f>-N22</f>
        <v/>
      </c>
      <c r="O69" s="399">
        <f>-O22</f>
        <v/>
      </c>
      <c r="P69" s="399">
        <f>-P22</f>
        <v/>
      </c>
      <c r="Q69" s="399">
        <f>-Q22</f>
        <v/>
      </c>
      <c r="R69" s="399">
        <f>-R22</f>
        <v/>
      </c>
      <c r="S69" s="399">
        <f>-S22</f>
        <v/>
      </c>
      <c r="T69" s="399">
        <f>-T22</f>
        <v/>
      </c>
      <c r="U69" s="399">
        <f>-U22</f>
        <v/>
      </c>
      <c r="V69" s="399">
        <f>-V22</f>
        <v/>
      </c>
      <c r="W69" s="399">
        <f>-W22</f>
        <v/>
      </c>
      <c r="X69" s="399">
        <f>-X22</f>
        <v/>
      </c>
      <c r="Y69" s="399">
        <f>-Y22</f>
        <v/>
      </c>
      <c r="Z69" s="399">
        <f>-Z22</f>
        <v/>
      </c>
      <c r="AA69" s="399">
        <f>-AA22</f>
        <v/>
      </c>
      <c r="AB69" s="399">
        <f>-AB22</f>
        <v/>
      </c>
      <c r="AC69" s="399">
        <f>-AC22</f>
        <v/>
      </c>
      <c r="AD69" s="399">
        <f>-AD22</f>
        <v/>
      </c>
      <c r="AE69" s="399">
        <f>-AE22</f>
        <v/>
      </c>
      <c r="AF69" s="399">
        <f>-AF22</f>
        <v/>
      </c>
      <c r="AG69" s="399">
        <f>-AG22</f>
        <v/>
      </c>
      <c r="AH69" s="399">
        <f>-AH22</f>
        <v/>
      </c>
      <c r="AI69" s="399">
        <f>-AI22</f>
        <v/>
      </c>
      <c r="AJ69" s="399">
        <f>-AJ22</f>
        <v/>
      </c>
      <c r="AK69" s="399">
        <f>-AK22</f>
        <v/>
      </c>
      <c r="AL69" s="399">
        <f>-AL22</f>
        <v/>
      </c>
      <c r="AM69" s="399">
        <f>-AM22</f>
        <v/>
      </c>
      <c r="AN69" s="399">
        <f>-AN22</f>
        <v/>
      </c>
      <c r="AO69" s="399">
        <f>-AO22</f>
        <v/>
      </c>
      <c r="AP69" s="399">
        <f>-AP22</f>
        <v/>
      </c>
      <c r="AQ69" s="399">
        <f>-AQ22</f>
        <v/>
      </c>
      <c r="AR69" s="399">
        <f>-AR22</f>
        <v/>
      </c>
      <c r="AS69" s="399">
        <f>-AS22</f>
        <v/>
      </c>
      <c r="AT69" s="399">
        <f>-AT22</f>
        <v/>
      </c>
      <c r="AU69" s="399">
        <f>-AU22</f>
        <v/>
      </c>
      <c r="AV69" s="399">
        <f>-AV22</f>
        <v/>
      </c>
      <c r="AW69" s="399">
        <f>-AW22</f>
        <v/>
      </c>
      <c r="AX69" s="399">
        <f>-AX22</f>
        <v/>
      </c>
      <c r="AY69" s="399">
        <f>-AY22</f>
        <v/>
      </c>
      <c r="AZ69" s="399">
        <f>-AZ22</f>
        <v/>
      </c>
      <c r="BA69" s="399">
        <f>-BA22</f>
        <v/>
      </c>
      <c r="BB69" s="399">
        <f>-BB22</f>
        <v/>
      </c>
      <c r="BC69" s="399">
        <f>-BC22</f>
        <v/>
      </c>
      <c r="BD69" s="399">
        <f>-BD22</f>
        <v/>
      </c>
      <c r="BE69" s="399">
        <f>-BE22</f>
        <v/>
      </c>
      <c r="BF69" s="399">
        <f>-BF22</f>
        <v/>
      </c>
      <c r="BG69" s="399">
        <f>-BG22</f>
        <v/>
      </c>
      <c r="BH69" s="399">
        <f>-BH22</f>
        <v/>
      </c>
      <c r="BI69" s="399">
        <f>-BI22</f>
        <v/>
      </c>
      <c r="BJ69" s="399">
        <f>-BJ22</f>
        <v/>
      </c>
      <c r="BK69" s="399">
        <f>-BK22</f>
        <v/>
      </c>
      <c r="BL69" s="399">
        <f>-BL22</f>
        <v/>
      </c>
      <c r="BM69" s="399">
        <f>-BM22</f>
        <v/>
      </c>
      <c r="BN69" s="399">
        <f>-BN22</f>
        <v/>
      </c>
      <c r="BO69" s="399">
        <f>-BO22</f>
        <v/>
      </c>
      <c r="BP69" s="399">
        <f>-BP22</f>
        <v/>
      </c>
      <c r="BQ69" s="399">
        <f>-BQ22</f>
        <v/>
      </c>
      <c r="BR69" s="399">
        <f>-BR22</f>
        <v/>
      </c>
      <c r="BS69" s="399">
        <f>-BS22</f>
        <v/>
      </c>
      <c r="BT69" s="399">
        <f>-BT22</f>
        <v/>
      </c>
      <c r="BU69" s="399">
        <f>-BU22</f>
        <v/>
      </c>
      <c r="BV69" s="399">
        <f>-BV22</f>
        <v/>
      </c>
      <c r="BW69" s="399">
        <f>-BW22</f>
        <v/>
      </c>
      <c r="BX69" s="399">
        <f>-BX22</f>
        <v/>
      </c>
      <c r="BY69" s="399">
        <f>-BY22</f>
        <v/>
      </c>
      <c r="BZ69" s="399">
        <f>-BZ22</f>
        <v/>
      </c>
      <c r="CA69" s="399">
        <f>-CA22</f>
        <v/>
      </c>
      <c r="CB69" s="399">
        <f>-CB22</f>
        <v/>
      </c>
      <c r="CC69" s="399">
        <f>-CC22</f>
        <v/>
      </c>
      <c r="CD69" s="399">
        <f>-CD22</f>
        <v/>
      </c>
      <c r="CE69" s="399">
        <f>-CE22</f>
        <v/>
      </c>
      <c r="CF69" s="399">
        <f>-CF22</f>
        <v/>
      </c>
      <c r="CG69" s="399">
        <f>-CG22</f>
        <v/>
      </c>
      <c r="CH69" s="399">
        <f>-CH22</f>
        <v/>
      </c>
      <c r="CI69" s="399">
        <f>-CI22</f>
        <v/>
      </c>
      <c r="CJ69" s="399">
        <f>-CJ22</f>
        <v/>
      </c>
      <c r="CK69" s="399">
        <f>-CK22</f>
        <v/>
      </c>
      <c r="CL69" s="399">
        <f>-CL22</f>
        <v/>
      </c>
      <c r="CM69" s="399">
        <f>-CM22</f>
        <v/>
      </c>
      <c r="CN69" s="399">
        <f>-CN22</f>
        <v/>
      </c>
      <c r="CO69" s="399">
        <f>-CO22</f>
        <v/>
      </c>
      <c r="CP69" s="399">
        <f>-CP22</f>
        <v/>
      </c>
      <c r="CQ69" s="399">
        <f>-CQ22</f>
        <v/>
      </c>
      <c r="CR69" s="399">
        <f>-CR22</f>
        <v/>
      </c>
      <c r="CS69" s="399">
        <f>-CS22</f>
        <v/>
      </c>
      <c r="CT69" s="399">
        <f>-CT22</f>
        <v/>
      </c>
      <c r="CU69" s="399">
        <f>-CU22</f>
        <v/>
      </c>
      <c r="CV69" s="399">
        <f>-CV22</f>
        <v/>
      </c>
      <c r="CW69" s="399">
        <f>-CW22</f>
        <v/>
      </c>
      <c r="CX69" s="399">
        <f>-CX22</f>
        <v/>
      </c>
      <c r="CY69" s="399">
        <f>-CY22</f>
        <v/>
      </c>
      <c r="CZ69" s="399">
        <f>-CZ22</f>
        <v/>
      </c>
      <c r="DA69" s="399">
        <f>-DA22</f>
        <v/>
      </c>
      <c r="DB69" s="399">
        <f>-DB22</f>
        <v/>
      </c>
      <c r="DC69" s="399">
        <f>-DC22</f>
        <v/>
      </c>
      <c r="DD69" s="399">
        <f>-DD22</f>
        <v/>
      </c>
      <c r="DE69" s="399">
        <f>-DE22</f>
        <v/>
      </c>
    </row>
    <row r="70" hidden="1" outlineLevel="1" ht="15" customFormat="1" customHeight="1" s="380">
      <c r="A70" s="407" t="inlineStr">
        <is>
          <t>Scott</t>
        </is>
      </c>
      <c r="B70" s="399" t="n">
        <v>0</v>
      </c>
      <c r="C70" s="399" t="n">
        <v>0</v>
      </c>
      <c r="D70" s="399" t="n">
        <v>0</v>
      </c>
      <c r="E70" s="399" t="n">
        <v>0</v>
      </c>
      <c r="F70" s="399">
        <f>-F23</f>
        <v/>
      </c>
      <c r="G70" s="399">
        <f>-G23</f>
        <v/>
      </c>
      <c r="H70" s="399">
        <f>-H23</f>
        <v/>
      </c>
      <c r="I70" s="399">
        <f>-I23</f>
        <v/>
      </c>
      <c r="J70" s="399">
        <f>-J23</f>
        <v/>
      </c>
      <c r="K70" s="399">
        <f>-K23</f>
        <v/>
      </c>
      <c r="L70" s="399">
        <f>-L23</f>
        <v/>
      </c>
      <c r="M70" s="399">
        <f>-M23</f>
        <v/>
      </c>
      <c r="N70" s="399">
        <f>-N23</f>
        <v/>
      </c>
      <c r="O70" s="399">
        <f>-O23</f>
        <v/>
      </c>
      <c r="P70" s="399">
        <f>-P23</f>
        <v/>
      </c>
      <c r="Q70" s="399">
        <f>-Q23</f>
        <v/>
      </c>
      <c r="R70" s="399">
        <f>-R23</f>
        <v/>
      </c>
      <c r="S70" s="399">
        <f>-S23</f>
        <v/>
      </c>
      <c r="T70" s="399">
        <f>-T23</f>
        <v/>
      </c>
      <c r="U70" s="399">
        <f>-U23</f>
        <v/>
      </c>
      <c r="V70" s="399">
        <f>-V23</f>
        <v/>
      </c>
      <c r="W70" s="399">
        <f>-W23</f>
        <v/>
      </c>
      <c r="X70" s="399">
        <f>-X23</f>
        <v/>
      </c>
      <c r="Y70" s="399">
        <f>-Y23</f>
        <v/>
      </c>
      <c r="Z70" s="399">
        <f>-Z23</f>
        <v/>
      </c>
      <c r="AA70" s="399">
        <f>-AA23</f>
        <v/>
      </c>
      <c r="AB70" s="399">
        <f>-AB23</f>
        <v/>
      </c>
      <c r="AC70" s="399">
        <f>-AC23</f>
        <v/>
      </c>
      <c r="AD70" s="399">
        <f>-AD23</f>
        <v/>
      </c>
      <c r="AE70" s="399">
        <f>-AE23</f>
        <v/>
      </c>
      <c r="AF70" s="399">
        <f>-AF23</f>
        <v/>
      </c>
      <c r="AG70" s="399">
        <f>-AG23</f>
        <v/>
      </c>
      <c r="AH70" s="399">
        <f>-AH23</f>
        <v/>
      </c>
      <c r="AI70" s="399">
        <f>-AI23</f>
        <v/>
      </c>
      <c r="AJ70" s="399">
        <f>-AJ23</f>
        <v/>
      </c>
      <c r="AK70" s="399">
        <f>-AK23</f>
        <v/>
      </c>
      <c r="AL70" s="399">
        <f>-AL23</f>
        <v/>
      </c>
      <c r="AM70" s="399">
        <f>-AM23</f>
        <v/>
      </c>
      <c r="AN70" s="399">
        <f>-AN23</f>
        <v/>
      </c>
      <c r="AO70" s="399">
        <f>-AO23</f>
        <v/>
      </c>
      <c r="AP70" s="399">
        <f>-AP23</f>
        <v/>
      </c>
      <c r="AQ70" s="399">
        <f>-AQ23</f>
        <v/>
      </c>
      <c r="AR70" s="399">
        <f>-AR23</f>
        <v/>
      </c>
      <c r="AS70" s="399">
        <f>-AS23</f>
        <v/>
      </c>
      <c r="AT70" s="399">
        <f>-AT23</f>
        <v/>
      </c>
      <c r="AU70" s="399">
        <f>-AU23</f>
        <v/>
      </c>
      <c r="AV70" s="399">
        <f>-AV23</f>
        <v/>
      </c>
      <c r="AW70" s="399">
        <f>-AW23</f>
        <v/>
      </c>
      <c r="AX70" s="399">
        <f>-AX23</f>
        <v/>
      </c>
      <c r="AY70" s="399">
        <f>-AY23</f>
        <v/>
      </c>
      <c r="AZ70" s="399">
        <f>-AZ23</f>
        <v/>
      </c>
      <c r="BA70" s="399">
        <f>-BA23</f>
        <v/>
      </c>
      <c r="BB70" s="399">
        <f>-BB23</f>
        <v/>
      </c>
      <c r="BC70" s="399">
        <f>-BC23</f>
        <v/>
      </c>
      <c r="BD70" s="399">
        <f>-BD23</f>
        <v/>
      </c>
      <c r="BE70" s="399">
        <f>-BE23</f>
        <v/>
      </c>
      <c r="BF70" s="399">
        <f>-BF23</f>
        <v/>
      </c>
      <c r="BG70" s="399">
        <f>-BG23</f>
        <v/>
      </c>
      <c r="BH70" s="399">
        <f>-BH23</f>
        <v/>
      </c>
      <c r="BI70" s="399">
        <f>-BI23</f>
        <v/>
      </c>
      <c r="BJ70" s="399">
        <f>-BJ23</f>
        <v/>
      </c>
      <c r="BK70" s="399">
        <f>-BK23</f>
        <v/>
      </c>
      <c r="BL70" s="399">
        <f>-BL23</f>
        <v/>
      </c>
      <c r="BM70" s="399">
        <f>-BM23</f>
        <v/>
      </c>
      <c r="BN70" s="399">
        <f>-BN23</f>
        <v/>
      </c>
      <c r="BO70" s="399">
        <f>-BO23</f>
        <v/>
      </c>
      <c r="BP70" s="399">
        <f>-BP23</f>
        <v/>
      </c>
      <c r="BQ70" s="399">
        <f>-BQ23</f>
        <v/>
      </c>
      <c r="BR70" s="399">
        <f>-BR23</f>
        <v/>
      </c>
      <c r="BS70" s="399">
        <f>-BS23</f>
        <v/>
      </c>
      <c r="BT70" s="399">
        <f>-BT23</f>
        <v/>
      </c>
      <c r="BU70" s="399">
        <f>-BU23</f>
        <v/>
      </c>
      <c r="BV70" s="399">
        <f>-BV23</f>
        <v/>
      </c>
      <c r="BW70" s="399">
        <f>-BW23</f>
        <v/>
      </c>
      <c r="BX70" s="399">
        <f>-BX23</f>
        <v/>
      </c>
      <c r="BY70" s="399">
        <f>-BY23</f>
        <v/>
      </c>
      <c r="BZ70" s="399">
        <f>-BZ23</f>
        <v/>
      </c>
      <c r="CA70" s="399">
        <f>-CA23</f>
        <v/>
      </c>
      <c r="CB70" s="399">
        <f>-CB23</f>
        <v/>
      </c>
      <c r="CC70" s="399">
        <f>-CC23</f>
        <v/>
      </c>
      <c r="CD70" s="399">
        <f>-CD23</f>
        <v/>
      </c>
      <c r="CE70" s="399">
        <f>-CE23</f>
        <v/>
      </c>
      <c r="CF70" s="399">
        <f>-CF23</f>
        <v/>
      </c>
      <c r="CG70" s="399">
        <f>-CG23</f>
        <v/>
      </c>
      <c r="CH70" s="399">
        <f>-CH23</f>
        <v/>
      </c>
      <c r="CI70" s="399">
        <f>-CI23</f>
        <v/>
      </c>
      <c r="CJ70" s="399">
        <f>-CJ23</f>
        <v/>
      </c>
      <c r="CK70" s="399">
        <f>-CK23</f>
        <v/>
      </c>
      <c r="CL70" s="399">
        <f>-CL23</f>
        <v/>
      </c>
      <c r="CM70" s="399">
        <f>-CM23</f>
        <v/>
      </c>
      <c r="CN70" s="399">
        <f>-CN23</f>
        <v/>
      </c>
      <c r="CO70" s="399">
        <f>-CO23</f>
        <v/>
      </c>
      <c r="CP70" s="399">
        <f>-CP23</f>
        <v/>
      </c>
      <c r="CQ70" s="399">
        <f>-CQ23</f>
        <v/>
      </c>
      <c r="CR70" s="399">
        <f>-CR23</f>
        <v/>
      </c>
      <c r="CS70" s="399">
        <f>-CS23</f>
        <v/>
      </c>
      <c r="CT70" s="399">
        <f>-CT23</f>
        <v/>
      </c>
      <c r="CU70" s="399">
        <f>-CU23</f>
        <v/>
      </c>
      <c r="CV70" s="399">
        <f>-CV23</f>
        <v/>
      </c>
      <c r="CW70" s="399">
        <f>-CW23</f>
        <v/>
      </c>
      <c r="CX70" s="399">
        <f>-CX23</f>
        <v/>
      </c>
      <c r="CY70" s="399">
        <f>-CY23</f>
        <v/>
      </c>
      <c r="CZ70" s="399">
        <f>-CZ23</f>
        <v/>
      </c>
      <c r="DA70" s="399">
        <f>-DA23</f>
        <v/>
      </c>
      <c r="DB70" s="399">
        <f>-DB23</f>
        <v/>
      </c>
      <c r="DC70" s="399">
        <f>-DC23</f>
        <v/>
      </c>
      <c r="DD70" s="399">
        <f>-DD23</f>
        <v/>
      </c>
      <c r="DE70" s="399">
        <f>-DE23</f>
        <v/>
      </c>
    </row>
    <row r="71" hidden="1" outlineLevel="1" ht="15" customFormat="1" customHeight="1" s="380">
      <c r="A71" s="407" t="inlineStr">
        <is>
          <t>Reseda</t>
        </is>
      </c>
      <c r="B71" s="399" t="n">
        <v>0</v>
      </c>
      <c r="C71" s="399" t="n">
        <v>0</v>
      </c>
      <c r="D71" s="399" t="n">
        <v>0</v>
      </c>
      <c r="E71" s="399" t="n">
        <v>0</v>
      </c>
      <c r="F71" s="399">
        <f>-F24</f>
        <v/>
      </c>
      <c r="G71" s="399">
        <f>-G24</f>
        <v/>
      </c>
      <c r="H71" s="399">
        <f>-H24</f>
        <v/>
      </c>
      <c r="I71" s="399">
        <f>-I24</f>
        <v/>
      </c>
      <c r="J71" s="399">
        <f>-J24</f>
        <v/>
      </c>
      <c r="K71" s="399">
        <f>-K24</f>
        <v/>
      </c>
      <c r="L71" s="399">
        <f>-L24</f>
        <v/>
      </c>
      <c r="M71" s="399">
        <f>-M24</f>
        <v/>
      </c>
      <c r="N71" s="399">
        <f>-N24</f>
        <v/>
      </c>
      <c r="O71" s="399">
        <f>-O24</f>
        <v/>
      </c>
      <c r="P71" s="399">
        <f>-P24</f>
        <v/>
      </c>
      <c r="Q71" s="399">
        <f>-Q24</f>
        <v/>
      </c>
      <c r="R71" s="399">
        <f>-R24</f>
        <v/>
      </c>
      <c r="S71" s="399">
        <f>-S24</f>
        <v/>
      </c>
      <c r="T71" s="399">
        <f>-T24</f>
        <v/>
      </c>
      <c r="U71" s="399">
        <f>-U24</f>
        <v/>
      </c>
      <c r="V71" s="399">
        <f>-V24</f>
        <v/>
      </c>
      <c r="W71" s="399">
        <f>-W24</f>
        <v/>
      </c>
      <c r="X71" s="399">
        <f>-X24</f>
        <v/>
      </c>
      <c r="Y71" s="399">
        <f>-Y24</f>
        <v/>
      </c>
      <c r="Z71" s="399">
        <f>-Z24</f>
        <v/>
      </c>
      <c r="AA71" s="399">
        <f>-AA24</f>
        <v/>
      </c>
      <c r="AB71" s="399">
        <f>-AB24</f>
        <v/>
      </c>
      <c r="AC71" s="399">
        <f>-AC24</f>
        <v/>
      </c>
      <c r="AD71" s="399">
        <f>-AD24</f>
        <v/>
      </c>
      <c r="AE71" s="399">
        <f>-AE24</f>
        <v/>
      </c>
      <c r="AF71" s="399">
        <f>-AF24</f>
        <v/>
      </c>
      <c r="AG71" s="399">
        <f>-AG24</f>
        <v/>
      </c>
      <c r="AH71" s="399">
        <f>-AH24</f>
        <v/>
      </c>
      <c r="AI71" s="399">
        <f>-AI24</f>
        <v/>
      </c>
      <c r="AJ71" s="399">
        <f>-AJ24</f>
        <v/>
      </c>
      <c r="AK71" s="399">
        <f>-AK24</f>
        <v/>
      </c>
      <c r="AL71" s="399">
        <f>-AL24</f>
        <v/>
      </c>
      <c r="AM71" s="399">
        <f>-AM24</f>
        <v/>
      </c>
      <c r="AN71" s="399">
        <f>-AN24</f>
        <v/>
      </c>
      <c r="AO71" s="399">
        <f>-AO24</f>
        <v/>
      </c>
      <c r="AP71" s="399">
        <f>-AP24</f>
        <v/>
      </c>
      <c r="AQ71" s="399">
        <f>-AQ24</f>
        <v/>
      </c>
      <c r="AR71" s="399">
        <f>-AR24</f>
        <v/>
      </c>
      <c r="AS71" s="399">
        <f>-AS24</f>
        <v/>
      </c>
      <c r="AT71" s="399">
        <f>-AT24</f>
        <v/>
      </c>
      <c r="AU71" s="399">
        <f>-AU24</f>
        <v/>
      </c>
      <c r="AV71" s="399">
        <f>-AV24</f>
        <v/>
      </c>
      <c r="AW71" s="399">
        <f>-AW24</f>
        <v/>
      </c>
      <c r="AX71" s="399">
        <f>-AX24</f>
        <v/>
      </c>
      <c r="AY71" s="399">
        <f>-AY24</f>
        <v/>
      </c>
      <c r="AZ71" s="399">
        <f>-AZ24</f>
        <v/>
      </c>
      <c r="BA71" s="399">
        <f>-BA24</f>
        <v/>
      </c>
      <c r="BB71" s="399">
        <f>-BB24</f>
        <v/>
      </c>
      <c r="BC71" s="399">
        <f>-BC24</f>
        <v/>
      </c>
      <c r="BD71" s="399">
        <f>-BD24</f>
        <v/>
      </c>
      <c r="BE71" s="399">
        <f>-BE24</f>
        <v/>
      </c>
      <c r="BF71" s="399">
        <f>-BF24</f>
        <v/>
      </c>
      <c r="BG71" s="399">
        <f>-BG24</f>
        <v/>
      </c>
      <c r="BH71" s="399">
        <f>-BH24</f>
        <v/>
      </c>
      <c r="BI71" s="399">
        <f>-BI24</f>
        <v/>
      </c>
      <c r="BJ71" s="399">
        <f>-BJ24</f>
        <v/>
      </c>
      <c r="BK71" s="399">
        <f>-BK24</f>
        <v/>
      </c>
      <c r="BL71" s="399">
        <f>-BL24</f>
        <v/>
      </c>
      <c r="BM71" s="399">
        <f>-BM24</f>
        <v/>
      </c>
      <c r="BN71" s="399">
        <f>-BN24</f>
        <v/>
      </c>
      <c r="BO71" s="399">
        <f>-BO24</f>
        <v/>
      </c>
      <c r="BP71" s="399">
        <f>-BP24</f>
        <v/>
      </c>
      <c r="BQ71" s="399">
        <f>-BQ24</f>
        <v/>
      </c>
      <c r="BR71" s="399">
        <f>-BR24</f>
        <v/>
      </c>
      <c r="BS71" s="399">
        <f>-BS24</f>
        <v/>
      </c>
      <c r="BT71" s="399">
        <f>-BT24</f>
        <v/>
      </c>
      <c r="BU71" s="399">
        <f>-BU24</f>
        <v/>
      </c>
      <c r="BV71" s="399">
        <f>-BV24</f>
        <v/>
      </c>
      <c r="BW71" s="399">
        <f>-BW24</f>
        <v/>
      </c>
      <c r="BX71" s="399">
        <f>-BX24</f>
        <v/>
      </c>
      <c r="BY71" s="399">
        <f>-BY24</f>
        <v/>
      </c>
      <c r="BZ71" s="399">
        <f>-BZ24</f>
        <v/>
      </c>
      <c r="CA71" s="399">
        <f>-CA24</f>
        <v/>
      </c>
      <c r="CB71" s="399">
        <f>-CB24</f>
        <v/>
      </c>
      <c r="CC71" s="399">
        <f>-CC24</f>
        <v/>
      </c>
      <c r="CD71" s="399">
        <f>-CD24</f>
        <v/>
      </c>
      <c r="CE71" s="399">
        <f>-CE24</f>
        <v/>
      </c>
      <c r="CF71" s="399">
        <f>-CF24</f>
        <v/>
      </c>
      <c r="CG71" s="399">
        <f>-CG24</f>
        <v/>
      </c>
      <c r="CH71" s="399">
        <f>-CH24</f>
        <v/>
      </c>
      <c r="CI71" s="399">
        <f>-CI24</f>
        <v/>
      </c>
      <c r="CJ71" s="399">
        <f>-CJ24</f>
        <v/>
      </c>
      <c r="CK71" s="399">
        <f>-CK24</f>
        <v/>
      </c>
      <c r="CL71" s="399">
        <f>-CL24</f>
        <v/>
      </c>
      <c r="CM71" s="399">
        <f>-CM24</f>
        <v/>
      </c>
      <c r="CN71" s="399">
        <f>-CN24</f>
        <v/>
      </c>
      <c r="CO71" s="399">
        <f>-CO24</f>
        <v/>
      </c>
      <c r="CP71" s="399">
        <f>-CP24</f>
        <v/>
      </c>
      <c r="CQ71" s="399">
        <f>-CQ24</f>
        <v/>
      </c>
      <c r="CR71" s="399">
        <f>-CR24</f>
        <v/>
      </c>
      <c r="CS71" s="399">
        <f>-CS24</f>
        <v/>
      </c>
      <c r="CT71" s="399">
        <f>-CT24</f>
        <v/>
      </c>
      <c r="CU71" s="399">
        <f>-CU24</f>
        <v/>
      </c>
      <c r="CV71" s="399">
        <f>-CV24</f>
        <v/>
      </c>
      <c r="CW71" s="399">
        <f>-CW24</f>
        <v/>
      </c>
      <c r="CX71" s="399">
        <f>-CX24</f>
        <v/>
      </c>
      <c r="CY71" s="399">
        <f>-CY24</f>
        <v/>
      </c>
      <c r="CZ71" s="399">
        <f>-CZ24</f>
        <v/>
      </c>
      <c r="DA71" s="399">
        <f>-DA24</f>
        <v/>
      </c>
      <c r="DB71" s="399">
        <f>-DB24</f>
        <v/>
      </c>
      <c r="DC71" s="399">
        <f>-DC24</f>
        <v/>
      </c>
      <c r="DD71" s="399">
        <f>-DD24</f>
        <v/>
      </c>
      <c r="DE71" s="399">
        <f>-DE24</f>
        <v/>
      </c>
    </row>
    <row r="72" hidden="1" outlineLevel="1" ht="15" customFormat="1" customHeight="1" s="380">
      <c r="A72" s="407" t="inlineStr">
        <is>
          <t>3rd St</t>
        </is>
      </c>
      <c r="B72" s="399" t="n">
        <v>0</v>
      </c>
      <c r="C72" s="399" t="n">
        <v>0</v>
      </c>
      <c r="D72" s="399" t="n">
        <v>0</v>
      </c>
      <c r="E72" s="399" t="n">
        <v>0</v>
      </c>
      <c r="F72" s="399">
        <f>-F25</f>
        <v/>
      </c>
      <c r="G72" s="399">
        <f>-G25</f>
        <v/>
      </c>
      <c r="H72" s="399">
        <f>-H25</f>
        <v/>
      </c>
      <c r="I72" s="399">
        <f>-I25</f>
        <v/>
      </c>
      <c r="J72" s="399">
        <f>-J25</f>
        <v/>
      </c>
      <c r="K72" s="399">
        <f>-K25</f>
        <v/>
      </c>
      <c r="L72" s="399">
        <f>-L25</f>
        <v/>
      </c>
      <c r="M72" s="399">
        <f>-M25</f>
        <v/>
      </c>
      <c r="N72" s="399">
        <f>-N25</f>
        <v/>
      </c>
      <c r="O72" s="399">
        <f>-O25</f>
        <v/>
      </c>
      <c r="P72" s="399">
        <f>-P25</f>
        <v/>
      </c>
      <c r="Q72" s="399">
        <f>-Q25</f>
        <v/>
      </c>
      <c r="R72" s="399">
        <f>-R25</f>
        <v/>
      </c>
      <c r="S72" s="399">
        <f>-S25</f>
        <v/>
      </c>
      <c r="T72" s="399">
        <f>-T25</f>
        <v/>
      </c>
      <c r="U72" s="399">
        <f>-U25</f>
        <v/>
      </c>
      <c r="V72" s="399">
        <f>-V25</f>
        <v/>
      </c>
      <c r="W72" s="399">
        <f>-W25</f>
        <v/>
      </c>
      <c r="X72" s="399">
        <f>-X25</f>
        <v/>
      </c>
      <c r="Y72" s="399">
        <f>-Y25</f>
        <v/>
      </c>
      <c r="Z72" s="399">
        <f>-Z25</f>
        <v/>
      </c>
      <c r="AA72" s="399">
        <f>-AA25</f>
        <v/>
      </c>
      <c r="AB72" s="399">
        <f>-AB25</f>
        <v/>
      </c>
      <c r="AC72" s="399">
        <f>-AC25</f>
        <v/>
      </c>
      <c r="AD72" s="399">
        <f>-AD25</f>
        <v/>
      </c>
      <c r="AE72" s="399">
        <f>-AE25</f>
        <v/>
      </c>
      <c r="AF72" s="399">
        <f>-AF25</f>
        <v/>
      </c>
      <c r="AG72" s="399">
        <f>-AG25</f>
        <v/>
      </c>
      <c r="AH72" s="399">
        <f>-AH25</f>
        <v/>
      </c>
      <c r="AI72" s="399">
        <f>-AI25</f>
        <v/>
      </c>
      <c r="AJ72" s="399">
        <f>-AJ25</f>
        <v/>
      </c>
      <c r="AK72" s="399">
        <f>-AK25</f>
        <v/>
      </c>
      <c r="AL72" s="399">
        <f>-AL25</f>
        <v/>
      </c>
      <c r="AM72" s="399">
        <f>-AM25</f>
        <v/>
      </c>
      <c r="AN72" s="399">
        <f>-AN25</f>
        <v/>
      </c>
      <c r="AO72" s="399">
        <f>-AO25</f>
        <v/>
      </c>
      <c r="AP72" s="399">
        <f>-AP25</f>
        <v/>
      </c>
      <c r="AQ72" s="399">
        <f>-AQ25</f>
        <v/>
      </c>
      <c r="AR72" s="399">
        <f>-AR25</f>
        <v/>
      </c>
      <c r="AS72" s="399">
        <f>-AS25</f>
        <v/>
      </c>
      <c r="AT72" s="399">
        <f>-AT25</f>
        <v/>
      </c>
      <c r="AU72" s="399">
        <f>-AU25</f>
        <v/>
      </c>
      <c r="AV72" s="399">
        <f>-AV25</f>
        <v/>
      </c>
      <c r="AW72" s="399">
        <f>-AW25</f>
        <v/>
      </c>
      <c r="AX72" s="399">
        <f>-AX25</f>
        <v/>
      </c>
      <c r="AY72" s="399">
        <f>-AY25</f>
        <v/>
      </c>
      <c r="AZ72" s="399">
        <f>-AZ25</f>
        <v/>
      </c>
      <c r="BA72" s="399">
        <f>-BA25</f>
        <v/>
      </c>
      <c r="BB72" s="399">
        <f>-BB25</f>
        <v/>
      </c>
      <c r="BC72" s="399">
        <f>-BC25</f>
        <v/>
      </c>
      <c r="BD72" s="399">
        <f>-BD25</f>
        <v/>
      </c>
      <c r="BE72" s="399">
        <f>-BE25</f>
        <v/>
      </c>
      <c r="BF72" s="399">
        <f>-BF25</f>
        <v/>
      </c>
      <c r="BG72" s="399">
        <f>-BG25</f>
        <v/>
      </c>
      <c r="BH72" s="399">
        <f>-BH25</f>
        <v/>
      </c>
      <c r="BI72" s="399">
        <f>-BI25</f>
        <v/>
      </c>
      <c r="BJ72" s="399">
        <f>-BJ25</f>
        <v/>
      </c>
      <c r="BK72" s="399">
        <f>-BK25</f>
        <v/>
      </c>
      <c r="BL72" s="399">
        <f>-BL25</f>
        <v/>
      </c>
      <c r="BM72" s="399">
        <f>-BM25</f>
        <v/>
      </c>
      <c r="BN72" s="399">
        <f>-BN25</f>
        <v/>
      </c>
      <c r="BO72" s="399">
        <f>-BO25</f>
        <v/>
      </c>
      <c r="BP72" s="399">
        <f>-BP25</f>
        <v/>
      </c>
      <c r="BQ72" s="399">
        <f>-BQ25</f>
        <v/>
      </c>
      <c r="BR72" s="399">
        <f>-BR25</f>
        <v/>
      </c>
      <c r="BS72" s="399">
        <f>-BS25</f>
        <v/>
      </c>
      <c r="BT72" s="399">
        <f>-BT25</f>
        <v/>
      </c>
      <c r="BU72" s="399">
        <f>-BU25</f>
        <v/>
      </c>
      <c r="BV72" s="399">
        <f>-BV25</f>
        <v/>
      </c>
      <c r="BW72" s="399">
        <f>-BW25</f>
        <v/>
      </c>
      <c r="BX72" s="399">
        <f>-BX25</f>
        <v/>
      </c>
      <c r="BY72" s="399">
        <f>-BY25</f>
        <v/>
      </c>
      <c r="BZ72" s="399">
        <f>-BZ25</f>
        <v/>
      </c>
      <c r="CA72" s="399">
        <f>-CA25</f>
        <v/>
      </c>
      <c r="CB72" s="399">
        <f>-CB25</f>
        <v/>
      </c>
      <c r="CC72" s="399">
        <f>-CC25</f>
        <v/>
      </c>
      <c r="CD72" s="399">
        <f>-CD25</f>
        <v/>
      </c>
      <c r="CE72" s="399">
        <f>-CE25</f>
        <v/>
      </c>
      <c r="CF72" s="399">
        <f>-CF25</f>
        <v/>
      </c>
      <c r="CG72" s="399">
        <f>-CG25</f>
        <v/>
      </c>
      <c r="CH72" s="399">
        <f>-CH25</f>
        <v/>
      </c>
      <c r="CI72" s="399">
        <f>-CI25</f>
        <v/>
      </c>
      <c r="CJ72" s="399">
        <f>-CJ25</f>
        <v/>
      </c>
      <c r="CK72" s="399">
        <f>-CK25</f>
        <v/>
      </c>
      <c r="CL72" s="399">
        <f>-CL25</f>
        <v/>
      </c>
      <c r="CM72" s="399">
        <f>-CM25</f>
        <v/>
      </c>
      <c r="CN72" s="399">
        <f>-CN25</f>
        <v/>
      </c>
      <c r="CO72" s="399">
        <f>-CO25</f>
        <v/>
      </c>
      <c r="CP72" s="399">
        <f>-CP25</f>
        <v/>
      </c>
      <c r="CQ72" s="399">
        <f>-CQ25</f>
        <v/>
      </c>
      <c r="CR72" s="399">
        <f>-CR25</f>
        <v/>
      </c>
      <c r="CS72" s="399">
        <f>-CS25</f>
        <v/>
      </c>
      <c r="CT72" s="399">
        <f>-CT25</f>
        <v/>
      </c>
      <c r="CU72" s="399">
        <f>-CU25</f>
        <v/>
      </c>
      <c r="CV72" s="399">
        <f>-CV25</f>
        <v/>
      </c>
      <c r="CW72" s="399">
        <f>-CW25</f>
        <v/>
      </c>
      <c r="CX72" s="399">
        <f>-CX25</f>
        <v/>
      </c>
      <c r="CY72" s="399">
        <f>-CY25</f>
        <v/>
      </c>
      <c r="CZ72" s="399">
        <f>-CZ25</f>
        <v/>
      </c>
      <c r="DA72" s="399">
        <f>-DA25</f>
        <v/>
      </c>
      <c r="DB72" s="399">
        <f>-DB25</f>
        <v/>
      </c>
      <c r="DC72" s="399">
        <f>-DC25</f>
        <v/>
      </c>
      <c r="DD72" s="399">
        <f>-DD25</f>
        <v/>
      </c>
      <c r="DE72" s="399">
        <f>-DE25</f>
        <v/>
      </c>
    </row>
    <row r="73" hidden="1" outlineLevel="1" ht="15" customFormat="1" customHeight="1" s="380">
      <c r="A73" s="407" t="inlineStr">
        <is>
          <t>Dickens</t>
        </is>
      </c>
      <c r="B73" s="399" t="n">
        <v>0</v>
      </c>
      <c r="C73" s="399" t="n">
        <v>0</v>
      </c>
      <c r="D73" s="399" t="n">
        <v>0</v>
      </c>
      <c r="E73" s="399" t="n">
        <v>0</v>
      </c>
      <c r="F73" s="399">
        <f>-F26</f>
        <v/>
      </c>
      <c r="G73" s="399">
        <f>-G26</f>
        <v/>
      </c>
      <c r="H73" s="399">
        <f>-H26</f>
        <v/>
      </c>
      <c r="I73" s="399">
        <f>-I26</f>
        <v/>
      </c>
      <c r="J73" s="399">
        <f>-J26</f>
        <v/>
      </c>
      <c r="K73" s="399">
        <f>-K26</f>
        <v/>
      </c>
      <c r="L73" s="399">
        <f>-L26</f>
        <v/>
      </c>
      <c r="M73" s="399">
        <f>-M26</f>
        <v/>
      </c>
      <c r="N73" s="399">
        <f>-N26</f>
        <v/>
      </c>
      <c r="O73" s="399">
        <f>-O26</f>
        <v/>
      </c>
      <c r="P73" s="399">
        <f>-P26</f>
        <v/>
      </c>
      <c r="Q73" s="399">
        <f>-Q26</f>
        <v/>
      </c>
      <c r="R73" s="399">
        <f>-R26</f>
        <v/>
      </c>
      <c r="S73" s="399">
        <f>-S26</f>
        <v/>
      </c>
      <c r="T73" s="399">
        <f>-T26</f>
        <v/>
      </c>
      <c r="U73" s="399">
        <f>-U26</f>
        <v/>
      </c>
      <c r="V73" s="399">
        <f>-V26</f>
        <v/>
      </c>
      <c r="W73" s="399">
        <f>-W26</f>
        <v/>
      </c>
      <c r="X73" s="399">
        <f>-X26</f>
        <v/>
      </c>
      <c r="Y73" s="399">
        <f>-Y26</f>
        <v/>
      </c>
      <c r="Z73" s="399">
        <f>-Z26</f>
        <v/>
      </c>
      <c r="AA73" s="399">
        <f>-AA26</f>
        <v/>
      </c>
      <c r="AB73" s="399">
        <f>-AB26</f>
        <v/>
      </c>
      <c r="AC73" s="399">
        <f>-AC26</f>
        <v/>
      </c>
      <c r="AD73" s="399">
        <f>-AD26</f>
        <v/>
      </c>
      <c r="AE73" s="399">
        <f>-AE26</f>
        <v/>
      </c>
      <c r="AF73" s="399">
        <f>-AF26</f>
        <v/>
      </c>
      <c r="AG73" s="399">
        <f>-AG26</f>
        <v/>
      </c>
      <c r="AH73" s="399">
        <f>-AH26</f>
        <v/>
      </c>
      <c r="AI73" s="399">
        <f>-AI26</f>
        <v/>
      </c>
      <c r="AJ73" s="399">
        <f>-AJ26</f>
        <v/>
      </c>
      <c r="AK73" s="399">
        <f>-AK26</f>
        <v/>
      </c>
      <c r="AL73" s="399">
        <f>-AL26</f>
        <v/>
      </c>
      <c r="AM73" s="399">
        <f>-AM26</f>
        <v/>
      </c>
      <c r="AN73" s="399">
        <f>-AN26</f>
        <v/>
      </c>
      <c r="AO73" s="399">
        <f>-AO26</f>
        <v/>
      </c>
      <c r="AP73" s="399">
        <f>-AP26</f>
        <v/>
      </c>
      <c r="AQ73" s="399">
        <f>-AQ26</f>
        <v/>
      </c>
      <c r="AR73" s="399">
        <f>-AR26</f>
        <v/>
      </c>
      <c r="AS73" s="399">
        <f>-AS26</f>
        <v/>
      </c>
      <c r="AT73" s="399">
        <f>-AT26</f>
        <v/>
      </c>
      <c r="AU73" s="399">
        <f>-AU26</f>
        <v/>
      </c>
      <c r="AV73" s="399">
        <f>-AV26</f>
        <v/>
      </c>
      <c r="AW73" s="399">
        <f>-AW26</f>
        <v/>
      </c>
      <c r="AX73" s="399">
        <f>-AX26</f>
        <v/>
      </c>
      <c r="AY73" s="399">
        <f>-AY26</f>
        <v/>
      </c>
      <c r="AZ73" s="399">
        <f>-AZ26</f>
        <v/>
      </c>
      <c r="BA73" s="399">
        <f>-BA26</f>
        <v/>
      </c>
      <c r="BB73" s="399">
        <f>-BB26</f>
        <v/>
      </c>
      <c r="BC73" s="399">
        <f>-BC26</f>
        <v/>
      </c>
      <c r="BD73" s="399">
        <f>-BD26</f>
        <v/>
      </c>
      <c r="BE73" s="399">
        <f>-BE26</f>
        <v/>
      </c>
      <c r="BF73" s="399">
        <f>-BF26</f>
        <v/>
      </c>
      <c r="BG73" s="399">
        <f>-BG26</f>
        <v/>
      </c>
      <c r="BH73" s="399">
        <f>-BH26</f>
        <v/>
      </c>
      <c r="BI73" s="399">
        <f>-BI26</f>
        <v/>
      </c>
      <c r="BJ73" s="399">
        <f>-BJ26</f>
        <v/>
      </c>
      <c r="BK73" s="399">
        <f>-BK26</f>
        <v/>
      </c>
      <c r="BL73" s="399">
        <f>-BL26</f>
        <v/>
      </c>
      <c r="BM73" s="399">
        <f>-BM26</f>
        <v/>
      </c>
      <c r="BN73" s="399">
        <f>-BN26</f>
        <v/>
      </c>
      <c r="BO73" s="399">
        <f>-BO26</f>
        <v/>
      </c>
      <c r="BP73" s="399">
        <f>-BP26</f>
        <v/>
      </c>
      <c r="BQ73" s="399">
        <f>-BQ26</f>
        <v/>
      </c>
      <c r="BR73" s="399">
        <f>-BR26</f>
        <v/>
      </c>
      <c r="BS73" s="399">
        <f>-BS26</f>
        <v/>
      </c>
      <c r="BT73" s="399">
        <f>-BT26</f>
        <v/>
      </c>
      <c r="BU73" s="399">
        <f>-BU26</f>
        <v/>
      </c>
      <c r="BV73" s="399">
        <f>-BV26</f>
        <v/>
      </c>
      <c r="BW73" s="399">
        <f>-BW26</f>
        <v/>
      </c>
      <c r="BX73" s="399">
        <f>-BX26</f>
        <v/>
      </c>
      <c r="BY73" s="399">
        <f>-BY26</f>
        <v/>
      </c>
      <c r="BZ73" s="399">
        <f>-BZ26</f>
        <v/>
      </c>
      <c r="CA73" s="399">
        <f>-CA26</f>
        <v/>
      </c>
      <c r="CB73" s="399">
        <f>-CB26</f>
        <v/>
      </c>
      <c r="CC73" s="399">
        <f>-CC26</f>
        <v/>
      </c>
      <c r="CD73" s="399">
        <f>-CD26</f>
        <v/>
      </c>
      <c r="CE73" s="399">
        <f>-CE26</f>
        <v/>
      </c>
      <c r="CF73" s="399">
        <f>-CF26</f>
        <v/>
      </c>
      <c r="CG73" s="399">
        <f>-CG26</f>
        <v/>
      </c>
      <c r="CH73" s="399">
        <f>-CH26</f>
        <v/>
      </c>
      <c r="CI73" s="399">
        <f>-CI26</f>
        <v/>
      </c>
      <c r="CJ73" s="399">
        <f>-CJ26</f>
        <v/>
      </c>
      <c r="CK73" s="399">
        <f>-CK26</f>
        <v/>
      </c>
      <c r="CL73" s="399">
        <f>-CL26</f>
        <v/>
      </c>
      <c r="CM73" s="399">
        <f>-CM26</f>
        <v/>
      </c>
      <c r="CN73" s="399">
        <f>-CN26</f>
        <v/>
      </c>
      <c r="CO73" s="399">
        <f>-CO26</f>
        <v/>
      </c>
      <c r="CP73" s="399">
        <f>-CP26</f>
        <v/>
      </c>
      <c r="CQ73" s="399">
        <f>-CQ26</f>
        <v/>
      </c>
      <c r="CR73" s="399">
        <f>-CR26</f>
        <v/>
      </c>
      <c r="CS73" s="399">
        <f>-CS26</f>
        <v/>
      </c>
      <c r="CT73" s="399">
        <f>-CT26</f>
        <v/>
      </c>
      <c r="CU73" s="399">
        <f>-CU26</f>
        <v/>
      </c>
      <c r="CV73" s="399">
        <f>-CV26</f>
        <v/>
      </c>
      <c r="CW73" s="399">
        <f>-CW26</f>
        <v/>
      </c>
      <c r="CX73" s="399">
        <f>-CX26</f>
        <v/>
      </c>
      <c r="CY73" s="399">
        <f>-CY26</f>
        <v/>
      </c>
      <c r="CZ73" s="399">
        <f>-CZ26</f>
        <v/>
      </c>
      <c r="DA73" s="399">
        <f>-DA26</f>
        <v/>
      </c>
      <c r="DB73" s="399">
        <f>-DB26</f>
        <v/>
      </c>
      <c r="DC73" s="399">
        <f>-DC26</f>
        <v/>
      </c>
      <c r="DD73" s="399">
        <f>-DD26</f>
        <v/>
      </c>
      <c r="DE73" s="399">
        <f>-DE26</f>
        <v/>
      </c>
    </row>
    <row r="74" hidden="1" outlineLevel="1" ht="15" customFormat="1" customHeight="1" s="380">
      <c r="A74" s="407" t="inlineStr">
        <is>
          <t>Riverton</t>
        </is>
      </c>
      <c r="B74" s="399" t="n">
        <v>0</v>
      </c>
      <c r="C74" s="399" t="n">
        <v>0</v>
      </c>
      <c r="D74" s="399" t="n">
        <v>0</v>
      </c>
      <c r="E74" s="399" t="n">
        <v>0</v>
      </c>
      <c r="F74" s="399">
        <f>-F27</f>
        <v/>
      </c>
      <c r="G74" s="399">
        <f>-G27</f>
        <v/>
      </c>
      <c r="H74" s="399" t="n">
        <v>-219283</v>
      </c>
      <c r="I74" s="399">
        <f>-I27</f>
        <v/>
      </c>
      <c r="J74" s="399">
        <f>-J27</f>
        <v/>
      </c>
      <c r="K74" s="399">
        <f>-K27</f>
        <v/>
      </c>
      <c r="L74" s="399">
        <f>-L27</f>
        <v/>
      </c>
      <c r="M74" s="399">
        <f>-M27</f>
        <v/>
      </c>
      <c r="N74" s="399">
        <f>-N27</f>
        <v/>
      </c>
      <c r="O74" s="399">
        <f>-O27</f>
        <v/>
      </c>
      <c r="P74" s="399">
        <f>-P27</f>
        <v/>
      </c>
      <c r="Q74" s="399">
        <f>-Q27</f>
        <v/>
      </c>
      <c r="R74" s="399">
        <f>-R27</f>
        <v/>
      </c>
      <c r="S74" s="399">
        <f>-S27</f>
        <v/>
      </c>
      <c r="T74" s="399">
        <f>-T27</f>
        <v/>
      </c>
      <c r="U74" s="399">
        <f>-U27</f>
        <v/>
      </c>
      <c r="V74" s="399">
        <f>-V27</f>
        <v/>
      </c>
      <c r="W74" s="399">
        <f>-W27</f>
        <v/>
      </c>
      <c r="X74" s="399">
        <f>-X27</f>
        <v/>
      </c>
      <c r="Y74" s="399">
        <f>-Y27</f>
        <v/>
      </c>
      <c r="Z74" s="399">
        <f>-Z27</f>
        <v/>
      </c>
      <c r="AA74" s="399">
        <f>-AA27</f>
        <v/>
      </c>
      <c r="AB74" s="399">
        <f>-AB27</f>
        <v/>
      </c>
      <c r="AC74" s="399">
        <f>-AC27</f>
        <v/>
      </c>
      <c r="AD74" s="399">
        <f>-AD27</f>
        <v/>
      </c>
      <c r="AE74" s="399">
        <f>-AE27</f>
        <v/>
      </c>
      <c r="AF74" s="399">
        <f>-AF27</f>
        <v/>
      </c>
      <c r="AG74" s="399">
        <f>-AG27</f>
        <v/>
      </c>
      <c r="AH74" s="399">
        <f>-AH27</f>
        <v/>
      </c>
      <c r="AI74" s="399">
        <f>-AI27</f>
        <v/>
      </c>
      <c r="AJ74" s="399">
        <f>-AJ27</f>
        <v/>
      </c>
      <c r="AK74" s="399">
        <f>-AK27</f>
        <v/>
      </c>
      <c r="AL74" s="399">
        <f>-AL27</f>
        <v/>
      </c>
      <c r="AM74" s="399">
        <f>-AM27</f>
        <v/>
      </c>
      <c r="AN74" s="399">
        <f>-AN27</f>
        <v/>
      </c>
      <c r="AO74" s="399">
        <f>-AO27</f>
        <v/>
      </c>
      <c r="AP74" s="399">
        <f>-AP27</f>
        <v/>
      </c>
      <c r="AQ74" s="399">
        <f>-AQ27</f>
        <v/>
      </c>
      <c r="AR74" s="399">
        <f>-AR27</f>
        <v/>
      </c>
      <c r="AS74" s="399">
        <f>-AS27</f>
        <v/>
      </c>
      <c r="AT74" s="399">
        <f>-AT27</f>
        <v/>
      </c>
      <c r="AU74" s="399">
        <f>-AU27</f>
        <v/>
      </c>
      <c r="AV74" s="399">
        <f>-AV27</f>
        <v/>
      </c>
      <c r="AW74" s="399">
        <f>-AW27</f>
        <v/>
      </c>
      <c r="AX74" s="399">
        <f>-AX27</f>
        <v/>
      </c>
      <c r="AY74" s="399">
        <f>-AY27</f>
        <v/>
      </c>
      <c r="AZ74" s="399">
        <f>-AZ27</f>
        <v/>
      </c>
      <c r="BA74" s="399">
        <f>-BA27</f>
        <v/>
      </c>
      <c r="BB74" s="399">
        <f>-BB27</f>
        <v/>
      </c>
      <c r="BC74" s="399">
        <f>-BC27</f>
        <v/>
      </c>
      <c r="BD74" s="399">
        <f>-BD27</f>
        <v/>
      </c>
      <c r="BE74" s="399">
        <f>-BE27</f>
        <v/>
      </c>
      <c r="BF74" s="399">
        <f>-BF27</f>
        <v/>
      </c>
      <c r="BG74" s="399">
        <f>-BG27</f>
        <v/>
      </c>
      <c r="BH74" s="399">
        <f>-BH27</f>
        <v/>
      </c>
      <c r="BI74" s="399">
        <f>-BI27</f>
        <v/>
      </c>
      <c r="BJ74" s="399">
        <f>-BJ27</f>
        <v/>
      </c>
      <c r="BK74" s="399">
        <f>-BK27</f>
        <v/>
      </c>
      <c r="BL74" s="399">
        <f>-BL27</f>
        <v/>
      </c>
      <c r="BM74" s="399">
        <f>-BM27</f>
        <v/>
      </c>
      <c r="BN74" s="399">
        <f>-BN27</f>
        <v/>
      </c>
      <c r="BO74" s="399">
        <f>-BO27</f>
        <v/>
      </c>
      <c r="BP74" s="399">
        <f>-BP27</f>
        <v/>
      </c>
      <c r="BQ74" s="399">
        <f>-BQ27</f>
        <v/>
      </c>
      <c r="BR74" s="399">
        <f>-BR27</f>
        <v/>
      </c>
      <c r="BS74" s="399">
        <f>-BS27</f>
        <v/>
      </c>
      <c r="BT74" s="399">
        <f>-BT27</f>
        <v/>
      </c>
      <c r="BU74" s="399">
        <f>-BU27</f>
        <v/>
      </c>
      <c r="BV74" s="399">
        <f>-BV27</f>
        <v/>
      </c>
      <c r="BW74" s="399">
        <f>-BW27</f>
        <v/>
      </c>
      <c r="BX74" s="399">
        <f>-BX27</f>
        <v/>
      </c>
      <c r="BY74" s="399">
        <f>-BY27</f>
        <v/>
      </c>
      <c r="BZ74" s="399">
        <f>-BZ27</f>
        <v/>
      </c>
      <c r="CA74" s="399">
        <f>-CA27</f>
        <v/>
      </c>
      <c r="CB74" s="399">
        <f>-CB27</f>
        <v/>
      </c>
      <c r="CC74" s="399">
        <f>-CC27</f>
        <v/>
      </c>
      <c r="CD74" s="399">
        <f>-CD27</f>
        <v/>
      </c>
      <c r="CE74" s="399">
        <f>-CE27</f>
        <v/>
      </c>
      <c r="CF74" s="399">
        <f>-CF27</f>
        <v/>
      </c>
      <c r="CG74" s="399">
        <f>-CG27</f>
        <v/>
      </c>
      <c r="CH74" s="399">
        <f>-CH27</f>
        <v/>
      </c>
      <c r="CI74" s="399">
        <f>-CI27</f>
        <v/>
      </c>
      <c r="CJ74" s="399">
        <f>-CJ27</f>
        <v/>
      </c>
      <c r="CK74" s="399">
        <f>-CK27</f>
        <v/>
      </c>
      <c r="CL74" s="399">
        <f>-CL27</f>
        <v/>
      </c>
      <c r="CM74" s="399">
        <f>-CM27</f>
        <v/>
      </c>
      <c r="CN74" s="399">
        <f>-CN27</f>
        <v/>
      </c>
      <c r="CO74" s="399">
        <f>-CO27</f>
        <v/>
      </c>
      <c r="CP74" s="399">
        <f>-CP27</f>
        <v/>
      </c>
      <c r="CQ74" s="399">
        <f>-CQ27</f>
        <v/>
      </c>
      <c r="CR74" s="399">
        <f>-CR27</f>
        <v/>
      </c>
      <c r="CS74" s="399">
        <f>-CS27</f>
        <v/>
      </c>
      <c r="CT74" s="399">
        <f>-CT27</f>
        <v/>
      </c>
      <c r="CU74" s="399">
        <f>-CU27</f>
        <v/>
      </c>
      <c r="CV74" s="399">
        <f>-CV27</f>
        <v/>
      </c>
      <c r="CW74" s="399">
        <f>-CW27</f>
        <v/>
      </c>
      <c r="CX74" s="399">
        <f>-CX27</f>
        <v/>
      </c>
      <c r="CY74" s="399">
        <f>-CY27</f>
        <v/>
      </c>
      <c r="CZ74" s="399">
        <f>-CZ27</f>
        <v/>
      </c>
      <c r="DA74" s="399">
        <f>-DA27</f>
        <v/>
      </c>
      <c r="DB74" s="399">
        <f>-DB27</f>
        <v/>
      </c>
      <c r="DC74" s="399">
        <f>-DC27</f>
        <v/>
      </c>
      <c r="DD74" s="399">
        <f>-DD27</f>
        <v/>
      </c>
      <c r="DE74" s="399">
        <f>-DE27</f>
        <v/>
      </c>
    </row>
    <row r="75" hidden="1" outlineLevel="1" ht="15" customFormat="1" customHeight="1" s="380">
      <c r="A75" s="407" t="inlineStr">
        <is>
          <t>Moorpark</t>
        </is>
      </c>
      <c r="B75" s="399" t="n">
        <v>0</v>
      </c>
      <c r="C75" s="399" t="n">
        <v>0</v>
      </c>
      <c r="D75" s="399" t="n">
        <v>0</v>
      </c>
      <c r="E75" s="399" t="n">
        <v>0</v>
      </c>
      <c r="F75" s="399">
        <f>-F28</f>
        <v/>
      </c>
      <c r="G75" s="399">
        <f>-G28</f>
        <v/>
      </c>
      <c r="H75" s="399">
        <f>-H28</f>
        <v/>
      </c>
      <c r="I75" s="399">
        <f>-I28</f>
        <v/>
      </c>
      <c r="J75" s="399">
        <f>-J28</f>
        <v/>
      </c>
      <c r="K75" s="399">
        <f>-K28</f>
        <v/>
      </c>
      <c r="L75" s="399">
        <f>-L28</f>
        <v/>
      </c>
      <c r="M75" s="399">
        <f>-M28</f>
        <v/>
      </c>
      <c r="N75" s="399">
        <f>-N28</f>
        <v/>
      </c>
      <c r="O75" s="399">
        <f>-O28</f>
        <v/>
      </c>
      <c r="P75" s="399">
        <f>-P28</f>
        <v/>
      </c>
      <c r="Q75" s="399">
        <f>-Q28</f>
        <v/>
      </c>
      <c r="R75" s="399">
        <f>-R28</f>
        <v/>
      </c>
      <c r="S75" s="399">
        <f>-S28</f>
        <v/>
      </c>
      <c r="T75" s="399">
        <f>-T28</f>
        <v/>
      </c>
      <c r="U75" s="399">
        <f>-U28</f>
        <v/>
      </c>
      <c r="V75" s="399">
        <f>-V28</f>
        <v/>
      </c>
      <c r="W75" s="399">
        <f>-W28</f>
        <v/>
      </c>
      <c r="X75" s="399">
        <f>-X28</f>
        <v/>
      </c>
      <c r="Y75" s="399">
        <f>-Y28</f>
        <v/>
      </c>
      <c r="Z75" s="399">
        <f>-Z28</f>
        <v/>
      </c>
      <c r="AA75" s="399">
        <f>-AA28</f>
        <v/>
      </c>
      <c r="AB75" s="399">
        <f>-AB28</f>
        <v/>
      </c>
      <c r="AC75" s="399">
        <f>-AC28</f>
        <v/>
      </c>
      <c r="AD75" s="399">
        <f>-AD28</f>
        <v/>
      </c>
      <c r="AE75" s="399">
        <f>-AE28</f>
        <v/>
      </c>
      <c r="AF75" s="399">
        <f>-AF28</f>
        <v/>
      </c>
      <c r="AG75" s="399">
        <f>-AG28</f>
        <v/>
      </c>
      <c r="AH75" s="399">
        <f>-AH28</f>
        <v/>
      </c>
      <c r="AI75" s="399">
        <f>-AI28</f>
        <v/>
      </c>
      <c r="AJ75" s="399">
        <f>-AJ28</f>
        <v/>
      </c>
      <c r="AK75" s="399">
        <f>-AK28</f>
        <v/>
      </c>
      <c r="AL75" s="399">
        <f>-AL28</f>
        <v/>
      </c>
      <c r="AM75" s="399">
        <f>-AM28</f>
        <v/>
      </c>
      <c r="AN75" s="399">
        <f>-AN28</f>
        <v/>
      </c>
      <c r="AO75" s="399">
        <f>-AO28</f>
        <v/>
      </c>
      <c r="AP75" s="399">
        <f>-AP28</f>
        <v/>
      </c>
      <c r="AQ75" s="399">
        <f>-AQ28</f>
        <v/>
      </c>
      <c r="AR75" s="399">
        <f>-AR28</f>
        <v/>
      </c>
      <c r="AS75" s="399">
        <f>-AS28</f>
        <v/>
      </c>
      <c r="AT75" s="399">
        <f>-AT28</f>
        <v/>
      </c>
      <c r="AU75" s="399">
        <f>-AU28</f>
        <v/>
      </c>
      <c r="AV75" s="399">
        <f>-AV28</f>
        <v/>
      </c>
      <c r="AW75" s="399">
        <f>-AW28</f>
        <v/>
      </c>
      <c r="AX75" s="399">
        <f>-AX28</f>
        <v/>
      </c>
      <c r="AY75" s="399">
        <f>-AY28</f>
        <v/>
      </c>
      <c r="AZ75" s="399">
        <f>-AZ28</f>
        <v/>
      </c>
      <c r="BA75" s="399">
        <f>-BA28</f>
        <v/>
      </c>
      <c r="BB75" s="399">
        <f>-BB28</f>
        <v/>
      </c>
      <c r="BC75" s="399">
        <f>-BC28</f>
        <v/>
      </c>
      <c r="BD75" s="399">
        <f>-BD28</f>
        <v/>
      </c>
      <c r="BE75" s="399">
        <f>-BE28</f>
        <v/>
      </c>
      <c r="BF75" s="399">
        <f>-BF28</f>
        <v/>
      </c>
      <c r="BG75" s="399">
        <f>-BG28</f>
        <v/>
      </c>
      <c r="BH75" s="399">
        <f>-BH28</f>
        <v/>
      </c>
      <c r="BI75" s="399">
        <f>-BI28</f>
        <v/>
      </c>
      <c r="BJ75" s="399">
        <f>-BJ28</f>
        <v/>
      </c>
      <c r="BK75" s="399">
        <f>-BK28</f>
        <v/>
      </c>
      <c r="BL75" s="399">
        <f>-BL28</f>
        <v/>
      </c>
      <c r="BM75" s="399">
        <f>-BM28</f>
        <v/>
      </c>
      <c r="BN75" s="399">
        <f>-BN28</f>
        <v/>
      </c>
      <c r="BO75" s="399">
        <f>-BO28</f>
        <v/>
      </c>
      <c r="BP75" s="399">
        <f>-BP28</f>
        <v/>
      </c>
      <c r="BQ75" s="399">
        <f>-BQ28</f>
        <v/>
      </c>
      <c r="BR75" s="399">
        <f>-BR28</f>
        <v/>
      </c>
      <c r="BS75" s="399">
        <f>-BS28</f>
        <v/>
      </c>
      <c r="BT75" s="399">
        <f>-BT28</f>
        <v/>
      </c>
      <c r="BU75" s="399">
        <f>-BU28</f>
        <v/>
      </c>
      <c r="BV75" s="399">
        <f>-BV28</f>
        <v/>
      </c>
      <c r="BW75" s="399">
        <f>-BW28</f>
        <v/>
      </c>
      <c r="BX75" s="399">
        <f>-BX28</f>
        <v/>
      </c>
      <c r="BY75" s="399">
        <f>-BY28</f>
        <v/>
      </c>
      <c r="BZ75" s="399">
        <f>-BZ28</f>
        <v/>
      </c>
      <c r="CA75" s="399">
        <f>-CA28</f>
        <v/>
      </c>
      <c r="CB75" s="399">
        <f>-CB28</f>
        <v/>
      </c>
      <c r="CC75" s="399">
        <f>-CC28</f>
        <v/>
      </c>
      <c r="CD75" s="399">
        <f>-CD28</f>
        <v/>
      </c>
      <c r="CE75" s="399">
        <f>-CE28</f>
        <v/>
      </c>
      <c r="CF75" s="399">
        <f>-CF28</f>
        <v/>
      </c>
      <c r="CG75" s="399">
        <f>-CG28</f>
        <v/>
      </c>
      <c r="CH75" s="399">
        <f>-CH28</f>
        <v/>
      </c>
      <c r="CI75" s="399">
        <f>-CI28</f>
        <v/>
      </c>
      <c r="CJ75" s="399">
        <f>-CJ28</f>
        <v/>
      </c>
      <c r="CK75" s="399">
        <f>-CK28</f>
        <v/>
      </c>
      <c r="CL75" s="399">
        <f>-CL28</f>
        <v/>
      </c>
      <c r="CM75" s="399">
        <f>-CM28</f>
        <v/>
      </c>
      <c r="CN75" s="399">
        <f>-CN28</f>
        <v/>
      </c>
      <c r="CO75" s="399">
        <f>-CO28</f>
        <v/>
      </c>
      <c r="CP75" s="399">
        <f>-CP28</f>
        <v/>
      </c>
      <c r="CQ75" s="399">
        <f>-CQ28</f>
        <v/>
      </c>
      <c r="CR75" s="399">
        <f>-CR28</f>
        <v/>
      </c>
      <c r="CS75" s="399">
        <f>-CS28</f>
        <v/>
      </c>
      <c r="CT75" s="399">
        <f>-CT28</f>
        <v/>
      </c>
      <c r="CU75" s="399">
        <f>-CU28</f>
        <v/>
      </c>
      <c r="CV75" s="399">
        <f>-CV28</f>
        <v/>
      </c>
      <c r="CW75" s="399">
        <f>-CW28</f>
        <v/>
      </c>
      <c r="CX75" s="399">
        <f>-CX28</f>
        <v/>
      </c>
      <c r="CY75" s="399">
        <f>-CY28</f>
        <v/>
      </c>
      <c r="CZ75" s="399">
        <f>-CZ28</f>
        <v/>
      </c>
      <c r="DA75" s="399">
        <f>-DA28</f>
        <v/>
      </c>
      <c r="DB75" s="399">
        <f>-DB28</f>
        <v/>
      </c>
      <c r="DC75" s="399">
        <f>-DC28</f>
        <v/>
      </c>
      <c r="DD75" s="399">
        <f>-DD28</f>
        <v/>
      </c>
      <c r="DE75" s="399">
        <f>-DE28</f>
        <v/>
      </c>
    </row>
    <row r="76" hidden="1" outlineLevel="1" ht="15" customFormat="1" customHeight="1" s="380">
      <c r="A76" s="407" t="inlineStr">
        <is>
          <t>Beverly (BD-04)</t>
        </is>
      </c>
      <c r="B76" s="399" t="n">
        <v>0</v>
      </c>
      <c r="C76" s="399" t="n">
        <v>0</v>
      </c>
      <c r="D76" s="399" t="n">
        <v>0</v>
      </c>
      <c r="E76" s="399" t="n">
        <v>0</v>
      </c>
      <c r="F76" s="399">
        <f>-F29</f>
        <v/>
      </c>
      <c r="G76" s="399">
        <f>-G29</f>
        <v/>
      </c>
      <c r="H76" s="399">
        <f>-H29</f>
        <v/>
      </c>
      <c r="I76" s="399">
        <f>-I29</f>
        <v/>
      </c>
      <c r="J76" s="399">
        <f>-J29</f>
        <v/>
      </c>
      <c r="K76" s="399">
        <f>-K29</f>
        <v/>
      </c>
      <c r="L76" s="399">
        <f>-L29</f>
        <v/>
      </c>
      <c r="M76" s="399">
        <f>-M29</f>
        <v/>
      </c>
      <c r="N76" s="399">
        <f>-N29</f>
        <v/>
      </c>
      <c r="O76" s="399">
        <f>-O29</f>
        <v/>
      </c>
      <c r="P76" s="399">
        <f>-P29</f>
        <v/>
      </c>
      <c r="Q76" s="399">
        <f>-Q29</f>
        <v/>
      </c>
      <c r="R76" s="399">
        <f>-R29</f>
        <v/>
      </c>
      <c r="S76" s="399">
        <f>-S29</f>
        <v/>
      </c>
      <c r="T76" s="399">
        <f>-T29</f>
        <v/>
      </c>
      <c r="U76" s="399">
        <f>-U29</f>
        <v/>
      </c>
      <c r="V76" s="399">
        <f>-V29</f>
        <v/>
      </c>
      <c r="W76" s="399">
        <f>-W29</f>
        <v/>
      </c>
      <c r="X76" s="399">
        <f>-X29</f>
        <v/>
      </c>
      <c r="Y76" s="399">
        <f>-Y29</f>
        <v/>
      </c>
      <c r="Z76" s="399">
        <f>-Z29</f>
        <v/>
      </c>
      <c r="AA76" s="399">
        <f>-AA29</f>
        <v/>
      </c>
      <c r="AB76" s="399">
        <f>-AB29</f>
        <v/>
      </c>
      <c r="AC76" s="399">
        <f>-AC29</f>
        <v/>
      </c>
      <c r="AD76" s="399">
        <f>-AD29</f>
        <v/>
      </c>
      <c r="AE76" s="399">
        <f>-AE29</f>
        <v/>
      </c>
      <c r="AF76" s="399">
        <f>-AF29</f>
        <v/>
      </c>
      <c r="AG76" s="399">
        <f>-AG29</f>
        <v/>
      </c>
      <c r="AH76" s="399">
        <f>-AH29</f>
        <v/>
      </c>
      <c r="AI76" s="399">
        <f>-AI29</f>
        <v/>
      </c>
      <c r="AJ76" s="399">
        <f>-AJ29</f>
        <v/>
      </c>
      <c r="AK76" s="399">
        <f>-AK29</f>
        <v/>
      </c>
      <c r="AL76" s="399">
        <f>-AL29</f>
        <v/>
      </c>
      <c r="AM76" s="399">
        <f>-AM29</f>
        <v/>
      </c>
      <c r="AN76" s="399">
        <f>-AN29</f>
        <v/>
      </c>
      <c r="AO76" s="399">
        <f>-AO29</f>
        <v/>
      </c>
      <c r="AP76" s="399">
        <f>-AP29</f>
        <v/>
      </c>
      <c r="AQ76" s="399">
        <f>-AQ29</f>
        <v/>
      </c>
      <c r="AR76" s="399">
        <f>-AR29</f>
        <v/>
      </c>
      <c r="AS76" s="399">
        <f>-AS29</f>
        <v/>
      </c>
      <c r="AT76" s="399">
        <f>-AT29</f>
        <v/>
      </c>
      <c r="AU76" s="399">
        <f>-AU29</f>
        <v/>
      </c>
      <c r="AV76" s="399">
        <f>-AV29</f>
        <v/>
      </c>
      <c r="AW76" s="399">
        <f>-AW29</f>
        <v/>
      </c>
      <c r="AX76" s="399">
        <f>-AX29</f>
        <v/>
      </c>
      <c r="AY76" s="399">
        <f>-AY29</f>
        <v/>
      </c>
      <c r="AZ76" s="399">
        <f>-AZ29</f>
        <v/>
      </c>
      <c r="BA76" s="399">
        <f>-BA29</f>
        <v/>
      </c>
      <c r="BB76" s="399">
        <f>-BB29</f>
        <v/>
      </c>
      <c r="BC76" s="399">
        <f>-BC29</f>
        <v/>
      </c>
      <c r="BD76" s="399">
        <f>-BD29</f>
        <v/>
      </c>
      <c r="BE76" s="399">
        <f>-BE29</f>
        <v/>
      </c>
      <c r="BF76" s="399">
        <f>-BF29</f>
        <v/>
      </c>
      <c r="BG76" s="399">
        <f>-BG29</f>
        <v/>
      </c>
      <c r="BH76" s="399">
        <f>-BH29</f>
        <v/>
      </c>
      <c r="BI76" s="399">
        <f>-BI29</f>
        <v/>
      </c>
      <c r="BJ76" s="399">
        <f>-BJ29</f>
        <v/>
      </c>
      <c r="BK76" s="399">
        <f>-BK29</f>
        <v/>
      </c>
      <c r="BL76" s="399">
        <f>-BL29</f>
        <v/>
      </c>
      <c r="BM76" s="399">
        <f>-BM29</f>
        <v/>
      </c>
      <c r="BN76" s="399">
        <f>-BN29</f>
        <v/>
      </c>
      <c r="BO76" s="399">
        <f>-BO29</f>
        <v/>
      </c>
      <c r="BP76" s="399">
        <f>-BP29</f>
        <v/>
      </c>
      <c r="BQ76" s="399">
        <f>-BQ29</f>
        <v/>
      </c>
      <c r="BR76" s="399">
        <f>-BR29</f>
        <v/>
      </c>
      <c r="BS76" s="399">
        <f>-BS29</f>
        <v/>
      </c>
      <c r="BT76" s="399">
        <f>-BT29</f>
        <v/>
      </c>
      <c r="BU76" s="399">
        <f>-BU29</f>
        <v/>
      </c>
      <c r="BV76" s="399">
        <f>-BV29</f>
        <v/>
      </c>
      <c r="BW76" s="399">
        <f>-BW29</f>
        <v/>
      </c>
      <c r="BX76" s="399">
        <f>-BX29</f>
        <v/>
      </c>
      <c r="BY76" s="399">
        <f>-BY29</f>
        <v/>
      </c>
      <c r="BZ76" s="399">
        <f>-BZ29</f>
        <v/>
      </c>
      <c r="CA76" s="399">
        <f>-CA29</f>
        <v/>
      </c>
      <c r="CB76" s="399">
        <f>-CB29</f>
        <v/>
      </c>
      <c r="CC76" s="399">
        <f>-CC29</f>
        <v/>
      </c>
      <c r="CD76" s="399">
        <f>-CD29</f>
        <v/>
      </c>
      <c r="CE76" s="399">
        <f>-CE29</f>
        <v/>
      </c>
      <c r="CF76" s="399">
        <f>-CF29</f>
        <v/>
      </c>
      <c r="CG76" s="399">
        <f>-CG29</f>
        <v/>
      </c>
      <c r="CH76" s="399">
        <f>-CH29</f>
        <v/>
      </c>
      <c r="CI76" s="399">
        <f>-CI29</f>
        <v/>
      </c>
      <c r="CJ76" s="399">
        <f>-CJ29</f>
        <v/>
      </c>
      <c r="CK76" s="399">
        <f>-CK29</f>
        <v/>
      </c>
      <c r="CL76" s="399">
        <f>-CL29</f>
        <v/>
      </c>
      <c r="CM76" s="399">
        <f>-CM29</f>
        <v/>
      </c>
      <c r="CN76" s="399">
        <f>-CN29</f>
        <v/>
      </c>
      <c r="CO76" s="399">
        <f>-CO29</f>
        <v/>
      </c>
      <c r="CP76" s="399">
        <f>-CP29</f>
        <v/>
      </c>
      <c r="CQ76" s="399">
        <f>-CQ29</f>
        <v/>
      </c>
      <c r="CR76" s="399">
        <f>-CR29</f>
        <v/>
      </c>
      <c r="CS76" s="399">
        <f>-CS29</f>
        <v/>
      </c>
      <c r="CT76" s="399">
        <f>-CT29</f>
        <v/>
      </c>
      <c r="CU76" s="399">
        <f>-CU29</f>
        <v/>
      </c>
      <c r="CV76" s="399">
        <f>-CV29</f>
        <v/>
      </c>
      <c r="CW76" s="399">
        <f>-CW29</f>
        <v/>
      </c>
      <c r="CX76" s="399">
        <f>-CX29</f>
        <v/>
      </c>
      <c r="CY76" s="399">
        <f>-CY29</f>
        <v/>
      </c>
      <c r="CZ76" s="399">
        <f>-CZ29</f>
        <v/>
      </c>
      <c r="DA76" s="399">
        <f>-DA29</f>
        <v/>
      </c>
      <c r="DB76" s="399">
        <f>-DB29</f>
        <v/>
      </c>
      <c r="DC76" s="399">
        <f>-DC29</f>
        <v/>
      </c>
      <c r="DD76" s="399">
        <f>-DD29</f>
        <v/>
      </c>
      <c r="DE76" s="399">
        <f>-DE29</f>
        <v/>
      </c>
    </row>
    <row r="77" hidden="1" outlineLevel="1" ht="15" customFormat="1" customHeight="1" s="380">
      <c r="A77" s="407" t="inlineStr">
        <is>
          <t>Troost</t>
        </is>
      </c>
      <c r="B77" s="399" t="n">
        <v>0</v>
      </c>
      <c r="C77" s="399" t="n">
        <v>0</v>
      </c>
      <c r="D77" s="399" t="n">
        <v>0</v>
      </c>
      <c r="E77" s="399" t="n">
        <v>0</v>
      </c>
      <c r="F77" s="399">
        <f>-F30</f>
        <v/>
      </c>
      <c r="G77" s="399">
        <f>-G30</f>
        <v/>
      </c>
      <c r="H77" s="399">
        <f>-H30</f>
        <v/>
      </c>
      <c r="I77" s="399">
        <f>-I30</f>
        <v/>
      </c>
      <c r="J77" s="399">
        <f>-J30</f>
        <v/>
      </c>
      <c r="K77" s="399">
        <f>-K30</f>
        <v/>
      </c>
      <c r="L77" s="399">
        <f>-L30</f>
        <v/>
      </c>
      <c r="M77" s="399">
        <f>-M30</f>
        <v/>
      </c>
      <c r="N77" s="399">
        <f>-N30</f>
        <v/>
      </c>
      <c r="O77" s="399">
        <f>-O30</f>
        <v/>
      </c>
      <c r="P77" s="399">
        <f>-P30</f>
        <v/>
      </c>
      <c r="Q77" s="399">
        <f>-Q30</f>
        <v/>
      </c>
      <c r="R77" s="399">
        <f>-R30</f>
        <v/>
      </c>
      <c r="S77" s="399">
        <f>-S30</f>
        <v/>
      </c>
      <c r="T77" s="399">
        <f>-T30</f>
        <v/>
      </c>
      <c r="U77" s="399">
        <f>-U30</f>
        <v/>
      </c>
      <c r="V77" s="399">
        <f>-V30</f>
        <v/>
      </c>
      <c r="W77" s="399">
        <f>-W30</f>
        <v/>
      </c>
      <c r="X77" s="399">
        <f>-X30</f>
        <v/>
      </c>
      <c r="Y77" s="399">
        <f>-Y30</f>
        <v/>
      </c>
      <c r="Z77" s="399">
        <f>-Z30</f>
        <v/>
      </c>
      <c r="AA77" s="399">
        <f>-AA30</f>
        <v/>
      </c>
      <c r="AB77" s="399">
        <f>-AB30</f>
        <v/>
      </c>
      <c r="AC77" s="399">
        <f>-AC30</f>
        <v/>
      </c>
      <c r="AD77" s="399">
        <f>-AD30</f>
        <v/>
      </c>
      <c r="AE77" s="399">
        <f>-AE30</f>
        <v/>
      </c>
      <c r="AF77" s="399">
        <f>-AF30</f>
        <v/>
      </c>
      <c r="AG77" s="399">
        <f>-AG30</f>
        <v/>
      </c>
      <c r="AH77" s="399">
        <f>-AH30</f>
        <v/>
      </c>
      <c r="AI77" s="399">
        <f>-AI30</f>
        <v/>
      </c>
      <c r="AJ77" s="399">
        <f>-AJ30</f>
        <v/>
      </c>
      <c r="AK77" s="399">
        <f>-AK30</f>
        <v/>
      </c>
      <c r="AL77" s="399">
        <f>-AL30</f>
        <v/>
      </c>
      <c r="AM77" s="399">
        <f>-AM30</f>
        <v/>
      </c>
      <c r="AN77" s="399">
        <f>-AN30</f>
        <v/>
      </c>
      <c r="AO77" s="399">
        <f>-AO30</f>
        <v/>
      </c>
      <c r="AP77" s="399">
        <f>-AP30</f>
        <v/>
      </c>
      <c r="AQ77" s="399">
        <f>-AQ30</f>
        <v/>
      </c>
      <c r="AR77" s="399">
        <f>-AR30</f>
        <v/>
      </c>
      <c r="AS77" s="399">
        <f>-AS30</f>
        <v/>
      </c>
      <c r="AT77" s="399">
        <f>-AT30</f>
        <v/>
      </c>
      <c r="AU77" s="399">
        <f>-AU30</f>
        <v/>
      </c>
      <c r="AV77" s="399">
        <f>-AV30</f>
        <v/>
      </c>
      <c r="AW77" s="399">
        <f>-AW30</f>
        <v/>
      </c>
      <c r="AX77" s="399">
        <f>-AX30</f>
        <v/>
      </c>
      <c r="AY77" s="399">
        <f>-AY30</f>
        <v/>
      </c>
      <c r="AZ77" s="399">
        <f>-AZ30</f>
        <v/>
      </c>
      <c r="BA77" s="399">
        <f>-BA30</f>
        <v/>
      </c>
      <c r="BB77" s="399">
        <f>-BB30</f>
        <v/>
      </c>
      <c r="BC77" s="399">
        <f>-BC30</f>
        <v/>
      </c>
      <c r="BD77" s="399">
        <f>-BD30</f>
        <v/>
      </c>
      <c r="BE77" s="399">
        <f>-BE30</f>
        <v/>
      </c>
      <c r="BF77" s="399">
        <f>-BF30</f>
        <v/>
      </c>
      <c r="BG77" s="399">
        <f>-BG30</f>
        <v/>
      </c>
      <c r="BH77" s="399">
        <f>-BH30</f>
        <v/>
      </c>
      <c r="BI77" s="399">
        <f>-BI30</f>
        <v/>
      </c>
      <c r="BJ77" s="399">
        <f>-BJ30</f>
        <v/>
      </c>
      <c r="BK77" s="399">
        <f>-BK30</f>
        <v/>
      </c>
      <c r="BL77" s="399">
        <f>-BL30</f>
        <v/>
      </c>
      <c r="BM77" s="399">
        <f>-BM30</f>
        <v/>
      </c>
      <c r="BN77" s="399">
        <f>-BN30</f>
        <v/>
      </c>
      <c r="BO77" s="399">
        <f>-BO30</f>
        <v/>
      </c>
      <c r="BP77" s="399">
        <f>-BP30</f>
        <v/>
      </c>
      <c r="BQ77" s="399">
        <f>-BQ30</f>
        <v/>
      </c>
      <c r="BR77" s="399">
        <f>-BR30</f>
        <v/>
      </c>
      <c r="BS77" s="399">
        <f>-BS30</f>
        <v/>
      </c>
      <c r="BT77" s="399">
        <f>-BT30</f>
        <v/>
      </c>
      <c r="BU77" s="399">
        <f>-BU30</f>
        <v/>
      </c>
      <c r="BV77" s="399">
        <f>-BV30</f>
        <v/>
      </c>
      <c r="BW77" s="399">
        <f>-BW30</f>
        <v/>
      </c>
      <c r="BX77" s="399">
        <f>-BX30</f>
        <v/>
      </c>
      <c r="BY77" s="399">
        <f>-BY30</f>
        <v/>
      </c>
      <c r="BZ77" s="399">
        <f>-BZ30</f>
        <v/>
      </c>
      <c r="CA77" s="399">
        <f>-CA30</f>
        <v/>
      </c>
      <c r="CB77" s="399">
        <f>-CB30</f>
        <v/>
      </c>
      <c r="CC77" s="399">
        <f>-CC30</f>
        <v/>
      </c>
      <c r="CD77" s="399">
        <f>-CD30</f>
        <v/>
      </c>
      <c r="CE77" s="399">
        <f>-CE30</f>
        <v/>
      </c>
      <c r="CF77" s="399">
        <f>-CF30</f>
        <v/>
      </c>
      <c r="CG77" s="399">
        <f>-CG30</f>
        <v/>
      </c>
      <c r="CH77" s="399">
        <f>-CH30</f>
        <v/>
      </c>
      <c r="CI77" s="399">
        <f>-CI30</f>
        <v/>
      </c>
      <c r="CJ77" s="399">
        <f>-CJ30</f>
        <v/>
      </c>
      <c r="CK77" s="399">
        <f>-CK30</f>
        <v/>
      </c>
      <c r="CL77" s="399">
        <f>-CL30</f>
        <v/>
      </c>
      <c r="CM77" s="399">
        <f>-CM30</f>
        <v/>
      </c>
      <c r="CN77" s="399">
        <f>-CN30</f>
        <v/>
      </c>
      <c r="CO77" s="399">
        <f>-CO30</f>
        <v/>
      </c>
      <c r="CP77" s="399">
        <f>-CP30</f>
        <v/>
      </c>
      <c r="CQ77" s="399">
        <f>-CQ30</f>
        <v/>
      </c>
      <c r="CR77" s="399">
        <f>-CR30</f>
        <v/>
      </c>
      <c r="CS77" s="399">
        <f>-CS30</f>
        <v/>
      </c>
      <c r="CT77" s="399">
        <f>-CT30</f>
        <v/>
      </c>
      <c r="CU77" s="399">
        <f>-CU30</f>
        <v/>
      </c>
      <c r="CV77" s="399">
        <f>-CV30</f>
        <v/>
      </c>
      <c r="CW77" s="399">
        <f>-CW30</f>
        <v/>
      </c>
      <c r="CX77" s="399">
        <f>-CX30</f>
        <v/>
      </c>
      <c r="CY77" s="399">
        <f>-CY30</f>
        <v/>
      </c>
      <c r="CZ77" s="399">
        <f>-CZ30</f>
        <v/>
      </c>
      <c r="DA77" s="399">
        <f>-DA30</f>
        <v/>
      </c>
      <c r="DB77" s="399">
        <f>-DB30</f>
        <v/>
      </c>
      <c r="DC77" s="399">
        <f>-DC30</f>
        <v/>
      </c>
      <c r="DD77" s="399">
        <f>-DD30</f>
        <v/>
      </c>
      <c r="DE77" s="399">
        <f>-DE30</f>
        <v/>
      </c>
    </row>
    <row r="78" hidden="1" outlineLevel="1" ht="15" customFormat="1" customHeight="1" s="380">
      <c r="A78" s="407" t="inlineStr">
        <is>
          <t>BD-06</t>
        </is>
      </c>
      <c r="B78" s="399" t="n">
        <v>0</v>
      </c>
      <c r="C78" s="399" t="n">
        <v>0</v>
      </c>
      <c r="D78" s="399" t="n">
        <v>0</v>
      </c>
      <c r="E78" s="399" t="n">
        <v>0</v>
      </c>
      <c r="F78" s="399">
        <f>-F31</f>
        <v/>
      </c>
      <c r="G78" s="399">
        <f>-G31</f>
        <v/>
      </c>
      <c r="H78" s="399">
        <f>-H31</f>
        <v/>
      </c>
      <c r="I78" s="399">
        <f>-I31</f>
        <v/>
      </c>
      <c r="J78" s="399">
        <f>-J31</f>
        <v/>
      </c>
      <c r="K78" s="399">
        <f>-K31</f>
        <v/>
      </c>
      <c r="L78" s="399">
        <f>-L31</f>
        <v/>
      </c>
      <c r="M78" s="399">
        <f>-M31</f>
        <v/>
      </c>
      <c r="N78" s="399">
        <f>-N31</f>
        <v/>
      </c>
      <c r="O78" s="399">
        <f>-O31</f>
        <v/>
      </c>
      <c r="P78" s="399">
        <f>-P31</f>
        <v/>
      </c>
      <c r="Q78" s="399">
        <f>-Q31</f>
        <v/>
      </c>
      <c r="R78" s="399">
        <f>-R31</f>
        <v/>
      </c>
      <c r="S78" s="399">
        <f>-S31</f>
        <v/>
      </c>
      <c r="T78" s="399">
        <f>-T31</f>
        <v/>
      </c>
      <c r="U78" s="399">
        <f>-U31</f>
        <v/>
      </c>
      <c r="V78" s="399">
        <f>-V31</f>
        <v/>
      </c>
      <c r="W78" s="399">
        <f>-W31</f>
        <v/>
      </c>
      <c r="X78" s="399">
        <f>-X31</f>
        <v/>
      </c>
      <c r="Y78" s="399">
        <f>-Y31</f>
        <v/>
      </c>
      <c r="Z78" s="399">
        <f>-Z31</f>
        <v/>
      </c>
      <c r="AA78" s="399">
        <f>-AA31</f>
        <v/>
      </c>
      <c r="AB78" s="399">
        <f>-AB31</f>
        <v/>
      </c>
      <c r="AC78" s="399">
        <f>-AC31</f>
        <v/>
      </c>
      <c r="AD78" s="399">
        <f>-AD31</f>
        <v/>
      </c>
      <c r="AE78" s="399">
        <f>-AE31</f>
        <v/>
      </c>
      <c r="AF78" s="399">
        <f>-AF31</f>
        <v/>
      </c>
      <c r="AG78" s="399">
        <f>-AG31</f>
        <v/>
      </c>
      <c r="AH78" s="399">
        <f>-AH31</f>
        <v/>
      </c>
      <c r="AI78" s="399">
        <f>-AI31</f>
        <v/>
      </c>
      <c r="AJ78" s="399">
        <f>-AJ31</f>
        <v/>
      </c>
      <c r="AK78" s="399">
        <f>-AK31</f>
        <v/>
      </c>
      <c r="AL78" s="399">
        <f>-AL31</f>
        <v/>
      </c>
      <c r="AM78" s="399">
        <f>-AM31</f>
        <v/>
      </c>
      <c r="AN78" s="399">
        <f>-AN31</f>
        <v/>
      </c>
      <c r="AO78" s="399">
        <f>-AO31</f>
        <v/>
      </c>
      <c r="AP78" s="399">
        <f>-AP31</f>
        <v/>
      </c>
      <c r="AQ78" s="399">
        <f>-AQ31</f>
        <v/>
      </c>
      <c r="AR78" s="399">
        <f>-AR31</f>
        <v/>
      </c>
      <c r="AS78" s="399">
        <f>-AS31</f>
        <v/>
      </c>
      <c r="AT78" s="399">
        <f>-AT31</f>
        <v/>
      </c>
      <c r="AU78" s="399">
        <f>-AU31</f>
        <v/>
      </c>
      <c r="AV78" s="399">
        <f>-AV31</f>
        <v/>
      </c>
      <c r="AW78" s="399">
        <f>-AW31</f>
        <v/>
      </c>
      <c r="AX78" s="399">
        <f>-AX31</f>
        <v/>
      </c>
      <c r="AY78" s="399">
        <f>-AY31</f>
        <v/>
      </c>
      <c r="AZ78" s="399">
        <f>-AZ31</f>
        <v/>
      </c>
      <c r="BA78" s="399">
        <f>-BA31</f>
        <v/>
      </c>
      <c r="BB78" s="399">
        <f>-BB31</f>
        <v/>
      </c>
      <c r="BC78" s="399">
        <f>-BC31</f>
        <v/>
      </c>
      <c r="BD78" s="399">
        <f>-BD31</f>
        <v/>
      </c>
      <c r="BE78" s="399">
        <f>-BE31</f>
        <v/>
      </c>
      <c r="BF78" s="399">
        <f>-BF31</f>
        <v/>
      </c>
      <c r="BG78" s="399">
        <f>-BG31</f>
        <v/>
      </c>
      <c r="BH78" s="399">
        <f>-BH31</f>
        <v/>
      </c>
      <c r="BI78" s="399">
        <f>-BI31</f>
        <v/>
      </c>
      <c r="BJ78" s="399">
        <f>-BJ31</f>
        <v/>
      </c>
      <c r="BK78" s="399">
        <f>-BK31</f>
        <v/>
      </c>
      <c r="BL78" s="399">
        <f>-BL31</f>
        <v/>
      </c>
      <c r="BM78" s="399">
        <f>-BM31</f>
        <v/>
      </c>
      <c r="BN78" s="399">
        <f>-BN31</f>
        <v/>
      </c>
      <c r="BO78" s="399">
        <f>-BO31</f>
        <v/>
      </c>
      <c r="BP78" s="399">
        <f>-BP31</f>
        <v/>
      </c>
      <c r="BQ78" s="399">
        <f>-BQ31</f>
        <v/>
      </c>
      <c r="BR78" s="399">
        <f>-BR31</f>
        <v/>
      </c>
      <c r="BS78" s="399">
        <f>-BS31</f>
        <v/>
      </c>
      <c r="BT78" s="399">
        <f>-BT31</f>
        <v/>
      </c>
      <c r="BU78" s="399">
        <f>-BU31</f>
        <v/>
      </c>
      <c r="BV78" s="399">
        <f>-BV31</f>
        <v/>
      </c>
      <c r="BW78" s="399">
        <f>-BW31</f>
        <v/>
      </c>
      <c r="BX78" s="399">
        <f>-BX31</f>
        <v/>
      </c>
      <c r="BY78" s="399">
        <f>-BY31</f>
        <v/>
      </c>
      <c r="BZ78" s="399">
        <f>-BZ31</f>
        <v/>
      </c>
      <c r="CA78" s="399">
        <f>-CA31</f>
        <v/>
      </c>
      <c r="CB78" s="399">
        <f>-CB31</f>
        <v/>
      </c>
      <c r="CC78" s="399">
        <f>-CC31</f>
        <v/>
      </c>
      <c r="CD78" s="399">
        <f>-CD31</f>
        <v/>
      </c>
      <c r="CE78" s="399">
        <f>-CE31</f>
        <v/>
      </c>
      <c r="CF78" s="399">
        <f>-CF31</f>
        <v/>
      </c>
      <c r="CG78" s="399">
        <f>-CG31</f>
        <v/>
      </c>
      <c r="CH78" s="399">
        <f>-CH31</f>
        <v/>
      </c>
      <c r="CI78" s="399">
        <f>-CI31</f>
        <v/>
      </c>
      <c r="CJ78" s="399">
        <f>-CJ31</f>
        <v/>
      </c>
      <c r="CK78" s="399">
        <f>-CK31</f>
        <v/>
      </c>
      <c r="CL78" s="399">
        <f>-CL31</f>
        <v/>
      </c>
      <c r="CM78" s="399">
        <f>-CM31</f>
        <v/>
      </c>
      <c r="CN78" s="399">
        <f>-CN31</f>
        <v/>
      </c>
      <c r="CO78" s="399">
        <f>-CO31</f>
        <v/>
      </c>
      <c r="CP78" s="399">
        <f>-CP31</f>
        <v/>
      </c>
      <c r="CQ78" s="399">
        <f>-CQ31</f>
        <v/>
      </c>
      <c r="CR78" s="399">
        <f>-CR31</f>
        <v/>
      </c>
      <c r="CS78" s="399">
        <f>-CS31</f>
        <v/>
      </c>
      <c r="CT78" s="399">
        <f>-CT31</f>
        <v/>
      </c>
      <c r="CU78" s="399">
        <f>-CU31</f>
        <v/>
      </c>
      <c r="CV78" s="399">
        <f>-CV31</f>
        <v/>
      </c>
      <c r="CW78" s="399">
        <f>-CW31</f>
        <v/>
      </c>
      <c r="CX78" s="399">
        <f>-CX31</f>
        <v/>
      </c>
      <c r="CY78" s="399">
        <f>-CY31</f>
        <v/>
      </c>
      <c r="CZ78" s="399">
        <f>-CZ31</f>
        <v/>
      </c>
      <c r="DA78" s="399">
        <f>-DA31</f>
        <v/>
      </c>
      <c r="DB78" s="399">
        <f>-DB31</f>
        <v/>
      </c>
      <c r="DC78" s="399">
        <f>-DC31</f>
        <v/>
      </c>
      <c r="DD78" s="399">
        <f>-DD31</f>
        <v/>
      </c>
      <c r="DE78" s="399">
        <f>-DE31</f>
        <v/>
      </c>
    </row>
    <row r="79" hidden="1" outlineLevel="1" ht="15" customFormat="1" customHeight="1" s="380">
      <c r="A79" s="407" t="inlineStr">
        <is>
          <t>BD-07</t>
        </is>
      </c>
      <c r="B79" s="399" t="n">
        <v>0</v>
      </c>
      <c r="C79" s="399" t="n">
        <v>0</v>
      </c>
      <c r="D79" s="399" t="n">
        <v>0</v>
      </c>
      <c r="E79" s="399" t="n">
        <v>0</v>
      </c>
      <c r="F79" s="399">
        <f>-F32</f>
        <v/>
      </c>
      <c r="G79" s="399">
        <f>-G32</f>
        <v/>
      </c>
      <c r="H79" s="399">
        <f>-H32</f>
        <v/>
      </c>
      <c r="I79" s="399">
        <f>-I32</f>
        <v/>
      </c>
      <c r="J79" s="399">
        <f>-J32</f>
        <v/>
      </c>
      <c r="K79" s="399">
        <f>-K32</f>
        <v/>
      </c>
      <c r="L79" s="399">
        <f>-L32</f>
        <v/>
      </c>
      <c r="M79" s="399">
        <f>-M32</f>
        <v/>
      </c>
      <c r="N79" s="399">
        <f>-N32</f>
        <v/>
      </c>
      <c r="O79" s="399">
        <f>-O32</f>
        <v/>
      </c>
      <c r="P79" s="399">
        <f>-P32</f>
        <v/>
      </c>
      <c r="Q79" s="399">
        <f>-Q32</f>
        <v/>
      </c>
      <c r="R79" s="399">
        <f>-R32</f>
        <v/>
      </c>
      <c r="S79" s="399">
        <f>-S32</f>
        <v/>
      </c>
      <c r="T79" s="399">
        <f>-T32</f>
        <v/>
      </c>
      <c r="U79" s="399">
        <f>-U32</f>
        <v/>
      </c>
      <c r="V79" s="399">
        <f>-V32</f>
        <v/>
      </c>
      <c r="W79" s="399">
        <f>-W32</f>
        <v/>
      </c>
      <c r="X79" s="399">
        <f>-X32</f>
        <v/>
      </c>
      <c r="Y79" s="399">
        <f>-Y32</f>
        <v/>
      </c>
      <c r="Z79" s="399">
        <f>-Z32</f>
        <v/>
      </c>
      <c r="AA79" s="399">
        <f>-AA32</f>
        <v/>
      </c>
      <c r="AB79" s="399">
        <f>-AB32</f>
        <v/>
      </c>
      <c r="AC79" s="399">
        <f>-AC32</f>
        <v/>
      </c>
      <c r="AD79" s="399">
        <f>-AD32</f>
        <v/>
      </c>
      <c r="AE79" s="399">
        <f>-AE32</f>
        <v/>
      </c>
      <c r="AF79" s="399">
        <f>-AF32</f>
        <v/>
      </c>
      <c r="AG79" s="399">
        <f>-AG32</f>
        <v/>
      </c>
      <c r="AH79" s="399">
        <f>-AH32</f>
        <v/>
      </c>
      <c r="AI79" s="399">
        <f>-AI32</f>
        <v/>
      </c>
      <c r="AJ79" s="399">
        <f>-AJ32</f>
        <v/>
      </c>
      <c r="AK79" s="399">
        <f>-AK32</f>
        <v/>
      </c>
      <c r="AL79" s="399">
        <f>-AL32</f>
        <v/>
      </c>
      <c r="AM79" s="399">
        <f>-AM32</f>
        <v/>
      </c>
      <c r="AN79" s="399">
        <f>-AN32</f>
        <v/>
      </c>
      <c r="AO79" s="399">
        <f>-AO32</f>
        <v/>
      </c>
      <c r="AP79" s="399">
        <f>-AP32</f>
        <v/>
      </c>
      <c r="AQ79" s="399">
        <f>-AQ32</f>
        <v/>
      </c>
      <c r="AR79" s="399">
        <f>-AR32</f>
        <v/>
      </c>
      <c r="AS79" s="399">
        <f>-AS32</f>
        <v/>
      </c>
      <c r="AT79" s="399">
        <f>-AT32</f>
        <v/>
      </c>
      <c r="AU79" s="399">
        <f>-AU32</f>
        <v/>
      </c>
      <c r="AV79" s="399">
        <f>-AV32</f>
        <v/>
      </c>
      <c r="AW79" s="399">
        <f>-AW32</f>
        <v/>
      </c>
      <c r="AX79" s="399">
        <f>-AX32</f>
        <v/>
      </c>
      <c r="AY79" s="399">
        <f>-AY32</f>
        <v/>
      </c>
      <c r="AZ79" s="399">
        <f>-AZ32</f>
        <v/>
      </c>
      <c r="BA79" s="399">
        <f>-BA32</f>
        <v/>
      </c>
      <c r="BB79" s="399">
        <f>-BB32</f>
        <v/>
      </c>
      <c r="BC79" s="399">
        <f>-BC32</f>
        <v/>
      </c>
      <c r="BD79" s="399">
        <f>-BD32</f>
        <v/>
      </c>
      <c r="BE79" s="399">
        <f>-BE32</f>
        <v/>
      </c>
      <c r="BF79" s="399">
        <f>-BF32</f>
        <v/>
      </c>
      <c r="BG79" s="399">
        <f>-BG32</f>
        <v/>
      </c>
      <c r="BH79" s="399">
        <f>-BH32</f>
        <v/>
      </c>
      <c r="BI79" s="399">
        <f>-BI32</f>
        <v/>
      </c>
      <c r="BJ79" s="399">
        <f>-BJ32</f>
        <v/>
      </c>
      <c r="BK79" s="399">
        <f>-BK32</f>
        <v/>
      </c>
      <c r="BL79" s="399">
        <f>-BL32</f>
        <v/>
      </c>
      <c r="BM79" s="399">
        <f>-BM32</f>
        <v/>
      </c>
      <c r="BN79" s="399">
        <f>-BN32</f>
        <v/>
      </c>
      <c r="BO79" s="399">
        <f>-BO32</f>
        <v/>
      </c>
      <c r="BP79" s="399">
        <f>-BP32</f>
        <v/>
      </c>
      <c r="BQ79" s="399">
        <f>-BQ32</f>
        <v/>
      </c>
      <c r="BR79" s="399">
        <f>-BR32</f>
        <v/>
      </c>
      <c r="BS79" s="399">
        <f>-BS32</f>
        <v/>
      </c>
      <c r="BT79" s="399">
        <f>-BT32</f>
        <v/>
      </c>
      <c r="BU79" s="399">
        <f>-BU32</f>
        <v/>
      </c>
      <c r="BV79" s="399">
        <f>-BV32</f>
        <v/>
      </c>
      <c r="BW79" s="399">
        <f>-BW32</f>
        <v/>
      </c>
      <c r="BX79" s="399">
        <f>-BX32</f>
        <v/>
      </c>
      <c r="BY79" s="399">
        <f>-BY32</f>
        <v/>
      </c>
      <c r="BZ79" s="399">
        <f>-BZ32</f>
        <v/>
      </c>
      <c r="CA79" s="399">
        <f>-CA32</f>
        <v/>
      </c>
      <c r="CB79" s="399">
        <f>-CB32</f>
        <v/>
      </c>
      <c r="CC79" s="399">
        <f>-CC32</f>
        <v/>
      </c>
      <c r="CD79" s="399">
        <f>-CD32</f>
        <v/>
      </c>
      <c r="CE79" s="399">
        <f>-CE32</f>
        <v/>
      </c>
      <c r="CF79" s="399">
        <f>-CF32</f>
        <v/>
      </c>
      <c r="CG79" s="399">
        <f>-CG32</f>
        <v/>
      </c>
      <c r="CH79" s="399">
        <f>-CH32</f>
        <v/>
      </c>
      <c r="CI79" s="399">
        <f>-CI32</f>
        <v/>
      </c>
      <c r="CJ79" s="399">
        <f>-CJ32</f>
        <v/>
      </c>
      <c r="CK79" s="399">
        <f>-CK32</f>
        <v/>
      </c>
      <c r="CL79" s="399">
        <f>-CL32</f>
        <v/>
      </c>
      <c r="CM79" s="399">
        <f>-CM32</f>
        <v/>
      </c>
      <c r="CN79" s="399">
        <f>-CN32</f>
        <v/>
      </c>
      <c r="CO79" s="399">
        <f>-CO32</f>
        <v/>
      </c>
      <c r="CP79" s="399">
        <f>-CP32</f>
        <v/>
      </c>
      <c r="CQ79" s="399">
        <f>-CQ32</f>
        <v/>
      </c>
      <c r="CR79" s="399">
        <f>-CR32</f>
        <v/>
      </c>
      <c r="CS79" s="399">
        <f>-CS32</f>
        <v/>
      </c>
      <c r="CT79" s="399">
        <f>-CT32</f>
        <v/>
      </c>
      <c r="CU79" s="399">
        <f>-CU32</f>
        <v/>
      </c>
      <c r="CV79" s="399">
        <f>-CV32</f>
        <v/>
      </c>
      <c r="CW79" s="399">
        <f>-CW32</f>
        <v/>
      </c>
      <c r="CX79" s="399">
        <f>-CX32</f>
        <v/>
      </c>
      <c r="CY79" s="399">
        <f>-CY32</f>
        <v/>
      </c>
      <c r="CZ79" s="399">
        <f>-CZ32</f>
        <v/>
      </c>
      <c r="DA79" s="399">
        <f>-DA32</f>
        <v/>
      </c>
      <c r="DB79" s="399">
        <f>-DB32</f>
        <v/>
      </c>
      <c r="DC79" s="399">
        <f>-DC32</f>
        <v/>
      </c>
      <c r="DD79" s="399">
        <f>-DD32</f>
        <v/>
      </c>
      <c r="DE79" s="399">
        <f>-DE32</f>
        <v/>
      </c>
    </row>
    <row r="80" hidden="1" outlineLevel="1" ht="15" customFormat="1" customHeight="1" s="380">
      <c r="A80" s="407" t="inlineStr">
        <is>
          <t>BD-08</t>
        </is>
      </c>
      <c r="B80" s="399" t="n">
        <v>0</v>
      </c>
      <c r="C80" s="399" t="n">
        <v>0</v>
      </c>
      <c r="D80" s="399" t="n">
        <v>0</v>
      </c>
      <c r="E80" s="399" t="n">
        <v>0</v>
      </c>
      <c r="F80" s="399">
        <f>-F33</f>
        <v/>
      </c>
      <c r="G80" s="399">
        <f>-G33</f>
        <v/>
      </c>
      <c r="H80" s="399">
        <f>-H33</f>
        <v/>
      </c>
      <c r="I80" s="399">
        <f>-I33</f>
        <v/>
      </c>
      <c r="J80" s="399">
        <f>-J33</f>
        <v/>
      </c>
      <c r="K80" s="399">
        <f>-K33</f>
        <v/>
      </c>
      <c r="L80" s="399">
        <f>-L33</f>
        <v/>
      </c>
      <c r="M80" s="399">
        <f>-M33</f>
        <v/>
      </c>
      <c r="N80" s="399">
        <f>-N33</f>
        <v/>
      </c>
      <c r="O80" s="399">
        <f>-O33</f>
        <v/>
      </c>
      <c r="P80" s="399">
        <f>-P33</f>
        <v/>
      </c>
      <c r="Q80" s="399">
        <f>-Q33</f>
        <v/>
      </c>
      <c r="R80" s="399">
        <f>-R33</f>
        <v/>
      </c>
      <c r="S80" s="399">
        <f>-S33</f>
        <v/>
      </c>
      <c r="T80" s="399">
        <f>-T33</f>
        <v/>
      </c>
      <c r="U80" s="399">
        <f>-U33</f>
        <v/>
      </c>
      <c r="V80" s="399">
        <f>-V33</f>
        <v/>
      </c>
      <c r="W80" s="399">
        <f>-W33</f>
        <v/>
      </c>
      <c r="X80" s="399">
        <f>-X33</f>
        <v/>
      </c>
      <c r="Y80" s="399">
        <f>-Y33</f>
        <v/>
      </c>
      <c r="Z80" s="399">
        <f>-Z33</f>
        <v/>
      </c>
      <c r="AA80" s="399">
        <f>-AA33</f>
        <v/>
      </c>
      <c r="AB80" s="399">
        <f>-AB33</f>
        <v/>
      </c>
      <c r="AC80" s="399">
        <f>-AC33</f>
        <v/>
      </c>
      <c r="AD80" s="399">
        <f>-AD33</f>
        <v/>
      </c>
      <c r="AE80" s="399">
        <f>-AE33</f>
        <v/>
      </c>
      <c r="AF80" s="399">
        <f>-AF33</f>
        <v/>
      </c>
      <c r="AG80" s="399">
        <f>-AG33</f>
        <v/>
      </c>
      <c r="AH80" s="399">
        <f>-AH33</f>
        <v/>
      </c>
      <c r="AI80" s="399">
        <f>-AI33</f>
        <v/>
      </c>
      <c r="AJ80" s="399">
        <f>-AJ33</f>
        <v/>
      </c>
      <c r="AK80" s="399">
        <f>-AK33</f>
        <v/>
      </c>
      <c r="AL80" s="399">
        <f>-AL33</f>
        <v/>
      </c>
      <c r="AM80" s="399">
        <f>-AM33</f>
        <v/>
      </c>
      <c r="AN80" s="399">
        <f>-AN33</f>
        <v/>
      </c>
      <c r="AO80" s="399">
        <f>-AO33</f>
        <v/>
      </c>
      <c r="AP80" s="399">
        <f>-AP33</f>
        <v/>
      </c>
      <c r="AQ80" s="399">
        <f>-AQ33</f>
        <v/>
      </c>
      <c r="AR80" s="399">
        <f>-AR33</f>
        <v/>
      </c>
      <c r="AS80" s="399">
        <f>-AS33</f>
        <v/>
      </c>
      <c r="AT80" s="399">
        <f>-AT33</f>
        <v/>
      </c>
      <c r="AU80" s="399">
        <f>-AU33</f>
        <v/>
      </c>
      <c r="AV80" s="399">
        <f>-AV33</f>
        <v/>
      </c>
      <c r="AW80" s="399">
        <f>-AW33</f>
        <v/>
      </c>
      <c r="AX80" s="399">
        <f>-AX33</f>
        <v/>
      </c>
      <c r="AY80" s="399">
        <f>-AY33</f>
        <v/>
      </c>
      <c r="AZ80" s="399">
        <f>-AZ33</f>
        <v/>
      </c>
      <c r="BA80" s="399">
        <f>-BA33</f>
        <v/>
      </c>
      <c r="BB80" s="399">
        <f>-BB33</f>
        <v/>
      </c>
      <c r="BC80" s="399">
        <f>-BC33</f>
        <v/>
      </c>
      <c r="BD80" s="399">
        <f>-BD33</f>
        <v/>
      </c>
      <c r="BE80" s="399">
        <f>-BE33</f>
        <v/>
      </c>
      <c r="BF80" s="399">
        <f>-BF33</f>
        <v/>
      </c>
      <c r="BG80" s="399">
        <f>-BG33</f>
        <v/>
      </c>
      <c r="BH80" s="399">
        <f>-BH33</f>
        <v/>
      </c>
      <c r="BI80" s="399">
        <f>-BI33</f>
        <v/>
      </c>
      <c r="BJ80" s="399">
        <f>-BJ33</f>
        <v/>
      </c>
      <c r="BK80" s="399">
        <f>-BK33</f>
        <v/>
      </c>
      <c r="BL80" s="399">
        <f>-BL33</f>
        <v/>
      </c>
      <c r="BM80" s="399">
        <f>-BM33</f>
        <v/>
      </c>
      <c r="BN80" s="399">
        <f>-BN33</f>
        <v/>
      </c>
      <c r="BO80" s="399">
        <f>-BO33</f>
        <v/>
      </c>
      <c r="BP80" s="399">
        <f>-BP33</f>
        <v/>
      </c>
      <c r="BQ80" s="399">
        <f>-BQ33</f>
        <v/>
      </c>
      <c r="BR80" s="399">
        <f>-BR33</f>
        <v/>
      </c>
      <c r="BS80" s="399">
        <f>-BS33</f>
        <v/>
      </c>
      <c r="BT80" s="399">
        <f>-BT33</f>
        <v/>
      </c>
      <c r="BU80" s="399">
        <f>-BU33</f>
        <v/>
      </c>
      <c r="BV80" s="399">
        <f>-BV33</f>
        <v/>
      </c>
      <c r="BW80" s="399">
        <f>-BW33</f>
        <v/>
      </c>
      <c r="BX80" s="399">
        <f>-BX33</f>
        <v/>
      </c>
      <c r="BY80" s="399">
        <f>-BY33</f>
        <v/>
      </c>
      <c r="BZ80" s="399">
        <f>-BZ33</f>
        <v/>
      </c>
      <c r="CA80" s="399">
        <f>-CA33</f>
        <v/>
      </c>
      <c r="CB80" s="399">
        <f>-CB33</f>
        <v/>
      </c>
      <c r="CC80" s="399">
        <f>-CC33</f>
        <v/>
      </c>
      <c r="CD80" s="399">
        <f>-CD33</f>
        <v/>
      </c>
      <c r="CE80" s="399">
        <f>-CE33</f>
        <v/>
      </c>
      <c r="CF80" s="399">
        <f>-CF33</f>
        <v/>
      </c>
      <c r="CG80" s="399">
        <f>-CG33</f>
        <v/>
      </c>
      <c r="CH80" s="399">
        <f>-CH33</f>
        <v/>
      </c>
      <c r="CI80" s="399">
        <f>-CI33</f>
        <v/>
      </c>
      <c r="CJ80" s="399">
        <f>-CJ33</f>
        <v/>
      </c>
      <c r="CK80" s="399">
        <f>-CK33</f>
        <v/>
      </c>
      <c r="CL80" s="399">
        <f>-CL33</f>
        <v/>
      </c>
      <c r="CM80" s="399">
        <f>-CM33</f>
        <v/>
      </c>
      <c r="CN80" s="399">
        <f>-CN33</f>
        <v/>
      </c>
      <c r="CO80" s="399">
        <f>-CO33</f>
        <v/>
      </c>
      <c r="CP80" s="399">
        <f>-CP33</f>
        <v/>
      </c>
      <c r="CQ80" s="399">
        <f>-CQ33</f>
        <v/>
      </c>
      <c r="CR80" s="399">
        <f>-CR33</f>
        <v/>
      </c>
      <c r="CS80" s="399">
        <f>-CS33</f>
        <v/>
      </c>
      <c r="CT80" s="399">
        <f>-CT33</f>
        <v/>
      </c>
      <c r="CU80" s="399">
        <f>-CU33</f>
        <v/>
      </c>
      <c r="CV80" s="399">
        <f>-CV33</f>
        <v/>
      </c>
      <c r="CW80" s="399">
        <f>-CW33</f>
        <v/>
      </c>
      <c r="CX80" s="399">
        <f>-CX33</f>
        <v/>
      </c>
      <c r="CY80" s="399">
        <f>-CY33</f>
        <v/>
      </c>
      <c r="CZ80" s="399">
        <f>-CZ33</f>
        <v/>
      </c>
      <c r="DA80" s="399">
        <f>-DA33</f>
        <v/>
      </c>
      <c r="DB80" s="399">
        <f>-DB33</f>
        <v/>
      </c>
      <c r="DC80" s="399">
        <f>-DC33</f>
        <v/>
      </c>
      <c r="DD80" s="399">
        <f>-DD33</f>
        <v/>
      </c>
      <c r="DE80" s="399">
        <f>-DE33</f>
        <v/>
      </c>
    </row>
    <row r="81" hidden="1" outlineLevel="1" ht="15" customFormat="1" customHeight="1" s="380">
      <c r="A81" s="407" t="inlineStr">
        <is>
          <t>BD-09</t>
        </is>
      </c>
      <c r="B81" s="399" t="n">
        <v>0</v>
      </c>
      <c r="C81" s="399" t="n">
        <v>0</v>
      </c>
      <c r="D81" s="399" t="n">
        <v>0</v>
      </c>
      <c r="E81" s="399" t="n">
        <v>0</v>
      </c>
      <c r="F81" s="399">
        <f>-F34</f>
        <v/>
      </c>
      <c r="G81" s="399">
        <f>-G34</f>
        <v/>
      </c>
      <c r="H81" s="399">
        <f>-H34</f>
        <v/>
      </c>
      <c r="I81" s="399">
        <f>-I34</f>
        <v/>
      </c>
      <c r="J81" s="399">
        <f>-J34</f>
        <v/>
      </c>
      <c r="K81" s="399">
        <f>-K34</f>
        <v/>
      </c>
      <c r="L81" s="399">
        <f>-L34</f>
        <v/>
      </c>
      <c r="M81" s="399">
        <f>-M34</f>
        <v/>
      </c>
      <c r="N81" s="399">
        <f>-N34</f>
        <v/>
      </c>
      <c r="O81" s="399">
        <f>-O34</f>
        <v/>
      </c>
      <c r="P81" s="399">
        <f>-P34</f>
        <v/>
      </c>
      <c r="Q81" s="399">
        <f>-Q34</f>
        <v/>
      </c>
      <c r="R81" s="399">
        <f>-R34</f>
        <v/>
      </c>
      <c r="S81" s="399">
        <f>-S34</f>
        <v/>
      </c>
      <c r="T81" s="399">
        <f>-T34</f>
        <v/>
      </c>
      <c r="U81" s="399">
        <f>-U34</f>
        <v/>
      </c>
      <c r="V81" s="399">
        <f>-V34</f>
        <v/>
      </c>
      <c r="W81" s="399">
        <f>-W34</f>
        <v/>
      </c>
      <c r="X81" s="399">
        <f>-X34</f>
        <v/>
      </c>
      <c r="Y81" s="399">
        <f>-Y34</f>
        <v/>
      </c>
      <c r="Z81" s="399">
        <f>-Z34</f>
        <v/>
      </c>
      <c r="AA81" s="399">
        <f>-AA34</f>
        <v/>
      </c>
      <c r="AB81" s="399">
        <f>-AB34</f>
        <v/>
      </c>
      <c r="AC81" s="399">
        <f>-AC34</f>
        <v/>
      </c>
      <c r="AD81" s="399">
        <f>-AD34</f>
        <v/>
      </c>
      <c r="AE81" s="399">
        <f>-AE34</f>
        <v/>
      </c>
      <c r="AF81" s="399">
        <f>-AF34</f>
        <v/>
      </c>
      <c r="AG81" s="399">
        <f>-AG34</f>
        <v/>
      </c>
      <c r="AH81" s="399">
        <f>-AH34</f>
        <v/>
      </c>
      <c r="AI81" s="399">
        <f>-AI34</f>
        <v/>
      </c>
      <c r="AJ81" s="399">
        <f>-AJ34</f>
        <v/>
      </c>
      <c r="AK81" s="399">
        <f>-AK34</f>
        <v/>
      </c>
      <c r="AL81" s="399">
        <f>-AL34</f>
        <v/>
      </c>
      <c r="AM81" s="399">
        <f>-AM34</f>
        <v/>
      </c>
      <c r="AN81" s="399">
        <f>-AN34</f>
        <v/>
      </c>
      <c r="AO81" s="399">
        <f>-AO34</f>
        <v/>
      </c>
      <c r="AP81" s="399">
        <f>-AP34</f>
        <v/>
      </c>
      <c r="AQ81" s="399">
        <f>-AQ34</f>
        <v/>
      </c>
      <c r="AR81" s="399">
        <f>-AR34</f>
        <v/>
      </c>
      <c r="AS81" s="399">
        <f>-AS34</f>
        <v/>
      </c>
      <c r="AT81" s="399">
        <f>-AT34</f>
        <v/>
      </c>
      <c r="AU81" s="399">
        <f>-AU34</f>
        <v/>
      </c>
      <c r="AV81" s="399">
        <f>-AV34</f>
        <v/>
      </c>
      <c r="AW81" s="399">
        <f>-AW34</f>
        <v/>
      </c>
      <c r="AX81" s="399">
        <f>-AX34</f>
        <v/>
      </c>
      <c r="AY81" s="399">
        <f>-AY34</f>
        <v/>
      </c>
      <c r="AZ81" s="399">
        <f>-AZ34</f>
        <v/>
      </c>
      <c r="BA81" s="399">
        <f>-BA34</f>
        <v/>
      </c>
      <c r="BB81" s="399">
        <f>-BB34</f>
        <v/>
      </c>
      <c r="BC81" s="399">
        <f>-BC34</f>
        <v/>
      </c>
      <c r="BD81" s="399">
        <f>-BD34</f>
        <v/>
      </c>
      <c r="BE81" s="399">
        <f>-BE34</f>
        <v/>
      </c>
      <c r="BF81" s="399">
        <f>-BF34</f>
        <v/>
      </c>
      <c r="BG81" s="399">
        <f>-BG34</f>
        <v/>
      </c>
      <c r="BH81" s="399">
        <f>-BH34</f>
        <v/>
      </c>
      <c r="BI81" s="399">
        <f>-BI34</f>
        <v/>
      </c>
      <c r="BJ81" s="399">
        <f>-BJ34</f>
        <v/>
      </c>
      <c r="BK81" s="399">
        <f>-BK34</f>
        <v/>
      </c>
      <c r="BL81" s="399">
        <f>-BL34</f>
        <v/>
      </c>
      <c r="BM81" s="399">
        <f>-BM34</f>
        <v/>
      </c>
      <c r="BN81" s="399">
        <f>-BN34</f>
        <v/>
      </c>
      <c r="BO81" s="399">
        <f>-BO34</f>
        <v/>
      </c>
      <c r="BP81" s="399">
        <f>-BP34</f>
        <v/>
      </c>
      <c r="BQ81" s="399">
        <f>-BQ34</f>
        <v/>
      </c>
      <c r="BR81" s="399">
        <f>-BR34</f>
        <v/>
      </c>
      <c r="BS81" s="399">
        <f>-BS34</f>
        <v/>
      </c>
      <c r="BT81" s="399">
        <f>-BT34</f>
        <v/>
      </c>
      <c r="BU81" s="399">
        <f>-BU34</f>
        <v/>
      </c>
      <c r="BV81" s="399">
        <f>-BV34</f>
        <v/>
      </c>
      <c r="BW81" s="399">
        <f>-BW34</f>
        <v/>
      </c>
      <c r="BX81" s="399">
        <f>-BX34</f>
        <v/>
      </c>
      <c r="BY81" s="399">
        <f>-BY34</f>
        <v/>
      </c>
      <c r="BZ81" s="399">
        <f>-BZ34</f>
        <v/>
      </c>
      <c r="CA81" s="399">
        <f>-CA34</f>
        <v/>
      </c>
      <c r="CB81" s="399">
        <f>-CB34</f>
        <v/>
      </c>
      <c r="CC81" s="399">
        <f>-CC34</f>
        <v/>
      </c>
      <c r="CD81" s="399">
        <f>-CD34</f>
        <v/>
      </c>
      <c r="CE81" s="399">
        <f>-CE34</f>
        <v/>
      </c>
      <c r="CF81" s="399">
        <f>-CF34</f>
        <v/>
      </c>
      <c r="CG81" s="399">
        <f>-CG34</f>
        <v/>
      </c>
      <c r="CH81" s="399">
        <f>-CH34</f>
        <v/>
      </c>
      <c r="CI81" s="399">
        <f>-CI34</f>
        <v/>
      </c>
      <c r="CJ81" s="399">
        <f>-CJ34</f>
        <v/>
      </c>
      <c r="CK81" s="399">
        <f>-CK34</f>
        <v/>
      </c>
      <c r="CL81" s="399">
        <f>-CL34</f>
        <v/>
      </c>
      <c r="CM81" s="399">
        <f>-CM34</f>
        <v/>
      </c>
      <c r="CN81" s="399">
        <f>-CN34</f>
        <v/>
      </c>
      <c r="CO81" s="399">
        <f>-CO34</f>
        <v/>
      </c>
      <c r="CP81" s="399">
        <f>-CP34</f>
        <v/>
      </c>
      <c r="CQ81" s="399">
        <f>-CQ34</f>
        <v/>
      </c>
      <c r="CR81" s="399">
        <f>-CR34</f>
        <v/>
      </c>
      <c r="CS81" s="399">
        <f>-CS34</f>
        <v/>
      </c>
      <c r="CT81" s="399">
        <f>-CT34</f>
        <v/>
      </c>
      <c r="CU81" s="399">
        <f>-CU34</f>
        <v/>
      </c>
      <c r="CV81" s="399">
        <f>-CV34</f>
        <v/>
      </c>
      <c r="CW81" s="399">
        <f>-CW34</f>
        <v/>
      </c>
      <c r="CX81" s="399">
        <f>-CX34</f>
        <v/>
      </c>
      <c r="CY81" s="399">
        <f>-CY34</f>
        <v/>
      </c>
      <c r="CZ81" s="399">
        <f>-CZ34</f>
        <v/>
      </c>
      <c r="DA81" s="399">
        <f>-DA34</f>
        <v/>
      </c>
      <c r="DB81" s="399">
        <f>-DB34</f>
        <v/>
      </c>
      <c r="DC81" s="399">
        <f>-DC34</f>
        <v/>
      </c>
      <c r="DD81" s="399">
        <f>-DD34</f>
        <v/>
      </c>
      <c r="DE81" s="399">
        <f>-DE34</f>
        <v/>
      </c>
    </row>
    <row r="82" hidden="1" outlineLevel="1" ht="15" customFormat="1" customHeight="1" s="380">
      <c r="A82" s="407" t="inlineStr">
        <is>
          <t>BD-10</t>
        </is>
      </c>
      <c r="B82" s="399" t="n">
        <v>0</v>
      </c>
      <c r="C82" s="399" t="n">
        <v>0</v>
      </c>
      <c r="D82" s="399" t="n">
        <v>0</v>
      </c>
      <c r="E82" s="399" t="n">
        <v>0</v>
      </c>
      <c r="F82" s="399">
        <f>-F35</f>
        <v/>
      </c>
      <c r="G82" s="399">
        <f>-G35</f>
        <v/>
      </c>
      <c r="H82" s="399">
        <f>-H35</f>
        <v/>
      </c>
      <c r="I82" s="399">
        <f>-I35</f>
        <v/>
      </c>
      <c r="J82" s="399">
        <f>-J35</f>
        <v/>
      </c>
      <c r="K82" s="399">
        <f>-K35</f>
        <v/>
      </c>
      <c r="L82" s="399">
        <f>-L35</f>
        <v/>
      </c>
      <c r="M82" s="399">
        <f>-M35</f>
        <v/>
      </c>
      <c r="N82" s="399">
        <f>-N35</f>
        <v/>
      </c>
      <c r="O82" s="399">
        <f>-O35</f>
        <v/>
      </c>
      <c r="P82" s="399">
        <f>-P35</f>
        <v/>
      </c>
      <c r="Q82" s="399">
        <f>-Q35</f>
        <v/>
      </c>
      <c r="R82" s="399">
        <f>-R35</f>
        <v/>
      </c>
      <c r="S82" s="399">
        <f>-S35</f>
        <v/>
      </c>
      <c r="T82" s="399">
        <f>-T35</f>
        <v/>
      </c>
      <c r="U82" s="399">
        <f>-U35</f>
        <v/>
      </c>
      <c r="V82" s="399">
        <f>-V35</f>
        <v/>
      </c>
      <c r="W82" s="399">
        <f>-W35</f>
        <v/>
      </c>
      <c r="X82" s="399">
        <f>-X35</f>
        <v/>
      </c>
      <c r="Y82" s="399">
        <f>-Y35</f>
        <v/>
      </c>
      <c r="Z82" s="399">
        <f>-Z35</f>
        <v/>
      </c>
      <c r="AA82" s="399">
        <f>-AA35</f>
        <v/>
      </c>
      <c r="AB82" s="399">
        <f>-AB35</f>
        <v/>
      </c>
      <c r="AC82" s="399">
        <f>-AC35</f>
        <v/>
      </c>
      <c r="AD82" s="399">
        <f>-AD35</f>
        <v/>
      </c>
      <c r="AE82" s="399">
        <f>-AE35</f>
        <v/>
      </c>
      <c r="AF82" s="399">
        <f>-AF35</f>
        <v/>
      </c>
      <c r="AG82" s="399">
        <f>-AG35</f>
        <v/>
      </c>
      <c r="AH82" s="399">
        <f>-AH35</f>
        <v/>
      </c>
      <c r="AI82" s="399">
        <f>-AI35</f>
        <v/>
      </c>
      <c r="AJ82" s="399">
        <f>-AJ35</f>
        <v/>
      </c>
      <c r="AK82" s="399">
        <f>-AK35</f>
        <v/>
      </c>
      <c r="AL82" s="399">
        <f>-AL35</f>
        <v/>
      </c>
      <c r="AM82" s="399">
        <f>-AM35</f>
        <v/>
      </c>
      <c r="AN82" s="399">
        <f>-AN35</f>
        <v/>
      </c>
      <c r="AO82" s="399">
        <f>-AO35</f>
        <v/>
      </c>
      <c r="AP82" s="399">
        <f>-AP35</f>
        <v/>
      </c>
      <c r="AQ82" s="399">
        <f>-AQ35</f>
        <v/>
      </c>
      <c r="AR82" s="399">
        <f>-AR35</f>
        <v/>
      </c>
      <c r="AS82" s="399">
        <f>-AS35</f>
        <v/>
      </c>
      <c r="AT82" s="399">
        <f>-AT35</f>
        <v/>
      </c>
      <c r="AU82" s="399">
        <f>-AU35</f>
        <v/>
      </c>
      <c r="AV82" s="399">
        <f>-AV35</f>
        <v/>
      </c>
      <c r="AW82" s="399">
        <f>-AW35</f>
        <v/>
      </c>
      <c r="AX82" s="399">
        <f>-AX35</f>
        <v/>
      </c>
      <c r="AY82" s="399">
        <f>-AY35</f>
        <v/>
      </c>
      <c r="AZ82" s="399">
        <f>-AZ35</f>
        <v/>
      </c>
      <c r="BA82" s="399">
        <f>-BA35</f>
        <v/>
      </c>
      <c r="BB82" s="399">
        <f>-BB35</f>
        <v/>
      </c>
      <c r="BC82" s="399">
        <f>-BC35</f>
        <v/>
      </c>
      <c r="BD82" s="399">
        <f>-BD35</f>
        <v/>
      </c>
      <c r="BE82" s="399">
        <f>-BE35</f>
        <v/>
      </c>
      <c r="BF82" s="399">
        <f>-BF35</f>
        <v/>
      </c>
      <c r="BG82" s="399">
        <f>-BG35</f>
        <v/>
      </c>
      <c r="BH82" s="399">
        <f>-BH35</f>
        <v/>
      </c>
      <c r="BI82" s="399">
        <f>-BI35</f>
        <v/>
      </c>
      <c r="BJ82" s="399">
        <f>-BJ35</f>
        <v/>
      </c>
      <c r="BK82" s="399">
        <f>-BK35</f>
        <v/>
      </c>
      <c r="BL82" s="399">
        <f>-BL35</f>
        <v/>
      </c>
      <c r="BM82" s="399">
        <f>-BM35</f>
        <v/>
      </c>
      <c r="BN82" s="399">
        <f>-BN35</f>
        <v/>
      </c>
      <c r="BO82" s="399">
        <f>-BO35</f>
        <v/>
      </c>
      <c r="BP82" s="399">
        <f>-BP35</f>
        <v/>
      </c>
      <c r="BQ82" s="399">
        <f>-BQ35</f>
        <v/>
      </c>
      <c r="BR82" s="399">
        <f>-BR35</f>
        <v/>
      </c>
      <c r="BS82" s="399">
        <f>-BS35</f>
        <v/>
      </c>
      <c r="BT82" s="399">
        <f>-BT35</f>
        <v/>
      </c>
      <c r="BU82" s="399">
        <f>-BU35</f>
        <v/>
      </c>
      <c r="BV82" s="399">
        <f>-BV35</f>
        <v/>
      </c>
      <c r="BW82" s="399">
        <f>-BW35</f>
        <v/>
      </c>
      <c r="BX82" s="399">
        <f>-BX35</f>
        <v/>
      </c>
      <c r="BY82" s="399">
        <f>-BY35</f>
        <v/>
      </c>
      <c r="BZ82" s="399">
        <f>-BZ35</f>
        <v/>
      </c>
      <c r="CA82" s="399">
        <f>-CA35</f>
        <v/>
      </c>
      <c r="CB82" s="399">
        <f>-CB35</f>
        <v/>
      </c>
      <c r="CC82" s="399">
        <f>-CC35</f>
        <v/>
      </c>
      <c r="CD82" s="399">
        <f>-CD35</f>
        <v/>
      </c>
      <c r="CE82" s="399">
        <f>-CE35</f>
        <v/>
      </c>
      <c r="CF82" s="399">
        <f>-CF35</f>
        <v/>
      </c>
      <c r="CG82" s="399">
        <f>-CG35</f>
        <v/>
      </c>
      <c r="CH82" s="399">
        <f>-CH35</f>
        <v/>
      </c>
      <c r="CI82" s="399">
        <f>-CI35</f>
        <v/>
      </c>
      <c r="CJ82" s="399">
        <f>-CJ35</f>
        <v/>
      </c>
      <c r="CK82" s="399">
        <f>-CK35</f>
        <v/>
      </c>
      <c r="CL82" s="399">
        <f>-CL35</f>
        <v/>
      </c>
      <c r="CM82" s="399">
        <f>-CM35</f>
        <v/>
      </c>
      <c r="CN82" s="399">
        <f>-CN35</f>
        <v/>
      </c>
      <c r="CO82" s="399">
        <f>-CO35</f>
        <v/>
      </c>
      <c r="CP82" s="399">
        <f>-CP35</f>
        <v/>
      </c>
      <c r="CQ82" s="399">
        <f>-CQ35</f>
        <v/>
      </c>
      <c r="CR82" s="399">
        <f>-CR35</f>
        <v/>
      </c>
      <c r="CS82" s="399">
        <f>-CS35</f>
        <v/>
      </c>
      <c r="CT82" s="399">
        <f>-CT35</f>
        <v/>
      </c>
      <c r="CU82" s="399">
        <f>-CU35</f>
        <v/>
      </c>
      <c r="CV82" s="399">
        <f>-CV35</f>
        <v/>
      </c>
      <c r="CW82" s="399">
        <f>-CW35</f>
        <v/>
      </c>
      <c r="CX82" s="399">
        <f>-CX35</f>
        <v/>
      </c>
      <c r="CY82" s="399">
        <f>-CY35</f>
        <v/>
      </c>
      <c r="CZ82" s="399">
        <f>-CZ35</f>
        <v/>
      </c>
      <c r="DA82" s="399">
        <f>-DA35</f>
        <v/>
      </c>
      <c r="DB82" s="399">
        <f>-DB35</f>
        <v/>
      </c>
      <c r="DC82" s="399">
        <f>-DC35</f>
        <v/>
      </c>
      <c r="DD82" s="399">
        <f>-DD35</f>
        <v/>
      </c>
      <c r="DE82" s="399">
        <f>-DE35</f>
        <v/>
      </c>
    </row>
    <row r="83" hidden="1" outlineLevel="1" ht="15" customFormat="1" customHeight="1" s="380">
      <c r="A83" s="407" t="inlineStr">
        <is>
          <t>BD-11</t>
        </is>
      </c>
      <c r="B83" s="399" t="n">
        <v>0</v>
      </c>
      <c r="C83" s="399" t="n">
        <v>0</v>
      </c>
      <c r="D83" s="399" t="n">
        <v>0</v>
      </c>
      <c r="E83" s="399" t="n">
        <v>0</v>
      </c>
      <c r="F83" s="399">
        <f>-F36</f>
        <v/>
      </c>
      <c r="G83" s="399">
        <f>-G36</f>
        <v/>
      </c>
      <c r="H83" s="399">
        <f>-H36</f>
        <v/>
      </c>
      <c r="I83" s="399">
        <f>-I36</f>
        <v/>
      </c>
      <c r="J83" s="399">
        <f>-J36</f>
        <v/>
      </c>
      <c r="K83" s="399">
        <f>-K36</f>
        <v/>
      </c>
      <c r="L83" s="399">
        <f>-L36</f>
        <v/>
      </c>
      <c r="M83" s="399">
        <f>-M36</f>
        <v/>
      </c>
      <c r="N83" s="399">
        <f>-N36</f>
        <v/>
      </c>
      <c r="O83" s="399">
        <f>-O36</f>
        <v/>
      </c>
      <c r="P83" s="399">
        <f>-P36</f>
        <v/>
      </c>
      <c r="Q83" s="399">
        <f>-Q36</f>
        <v/>
      </c>
      <c r="R83" s="399">
        <f>-R36</f>
        <v/>
      </c>
      <c r="S83" s="399">
        <f>-S36</f>
        <v/>
      </c>
      <c r="T83" s="399">
        <f>-T36</f>
        <v/>
      </c>
      <c r="U83" s="399">
        <f>-U36</f>
        <v/>
      </c>
      <c r="V83" s="399">
        <f>-V36</f>
        <v/>
      </c>
      <c r="W83" s="399">
        <f>-W36</f>
        <v/>
      </c>
      <c r="X83" s="399">
        <f>-X36</f>
        <v/>
      </c>
      <c r="Y83" s="399">
        <f>-Y36</f>
        <v/>
      </c>
      <c r="Z83" s="399">
        <f>-Z36</f>
        <v/>
      </c>
      <c r="AA83" s="399">
        <f>-AA36</f>
        <v/>
      </c>
      <c r="AB83" s="399">
        <f>-AB36</f>
        <v/>
      </c>
      <c r="AC83" s="399">
        <f>-AC36</f>
        <v/>
      </c>
      <c r="AD83" s="399">
        <f>-AD36</f>
        <v/>
      </c>
      <c r="AE83" s="399">
        <f>-AE36</f>
        <v/>
      </c>
      <c r="AF83" s="399">
        <f>-AF36</f>
        <v/>
      </c>
      <c r="AG83" s="399">
        <f>-AG36</f>
        <v/>
      </c>
      <c r="AH83" s="399">
        <f>-AH36</f>
        <v/>
      </c>
      <c r="AI83" s="399">
        <f>-AI36</f>
        <v/>
      </c>
      <c r="AJ83" s="399">
        <f>-AJ36</f>
        <v/>
      </c>
      <c r="AK83" s="399">
        <f>-AK36</f>
        <v/>
      </c>
      <c r="AL83" s="399">
        <f>-AL36</f>
        <v/>
      </c>
      <c r="AM83" s="399">
        <f>-AM36</f>
        <v/>
      </c>
      <c r="AN83" s="399">
        <f>-AN36</f>
        <v/>
      </c>
      <c r="AO83" s="399">
        <f>-AO36</f>
        <v/>
      </c>
      <c r="AP83" s="399">
        <f>-AP36</f>
        <v/>
      </c>
      <c r="AQ83" s="399">
        <f>-AQ36</f>
        <v/>
      </c>
      <c r="AR83" s="399">
        <f>-AR36</f>
        <v/>
      </c>
      <c r="AS83" s="399">
        <f>-AS36</f>
        <v/>
      </c>
      <c r="AT83" s="399">
        <f>-AT36</f>
        <v/>
      </c>
      <c r="AU83" s="399">
        <f>-AU36</f>
        <v/>
      </c>
      <c r="AV83" s="399">
        <f>-AV36</f>
        <v/>
      </c>
      <c r="AW83" s="399">
        <f>-AW36</f>
        <v/>
      </c>
      <c r="AX83" s="399">
        <f>-AX36</f>
        <v/>
      </c>
      <c r="AY83" s="399">
        <f>-AY36</f>
        <v/>
      </c>
      <c r="AZ83" s="399">
        <f>-AZ36</f>
        <v/>
      </c>
      <c r="BA83" s="399">
        <f>-BA36</f>
        <v/>
      </c>
      <c r="BB83" s="399">
        <f>-BB36</f>
        <v/>
      </c>
      <c r="BC83" s="399">
        <f>-BC36</f>
        <v/>
      </c>
      <c r="BD83" s="399">
        <f>-BD36</f>
        <v/>
      </c>
      <c r="BE83" s="399">
        <f>-BE36</f>
        <v/>
      </c>
      <c r="BF83" s="399">
        <f>-BF36</f>
        <v/>
      </c>
      <c r="BG83" s="399">
        <f>-BG36</f>
        <v/>
      </c>
      <c r="BH83" s="399">
        <f>-BH36</f>
        <v/>
      </c>
      <c r="BI83" s="399">
        <f>-BI36</f>
        <v/>
      </c>
      <c r="BJ83" s="399">
        <f>-BJ36</f>
        <v/>
      </c>
      <c r="BK83" s="399">
        <f>-BK36</f>
        <v/>
      </c>
      <c r="BL83" s="399">
        <f>-BL36</f>
        <v/>
      </c>
      <c r="BM83" s="399">
        <f>-BM36</f>
        <v/>
      </c>
      <c r="BN83" s="399">
        <f>-BN36</f>
        <v/>
      </c>
      <c r="BO83" s="399">
        <f>-BO36</f>
        <v/>
      </c>
      <c r="BP83" s="399">
        <f>-BP36</f>
        <v/>
      </c>
      <c r="BQ83" s="399">
        <f>-BQ36</f>
        <v/>
      </c>
      <c r="BR83" s="399">
        <f>-BR36</f>
        <v/>
      </c>
      <c r="BS83" s="399">
        <f>-BS36</f>
        <v/>
      </c>
      <c r="BT83" s="399">
        <f>-BT36</f>
        <v/>
      </c>
      <c r="BU83" s="399">
        <f>-BU36</f>
        <v/>
      </c>
      <c r="BV83" s="399">
        <f>-BV36</f>
        <v/>
      </c>
      <c r="BW83" s="399">
        <f>-BW36</f>
        <v/>
      </c>
      <c r="BX83" s="399">
        <f>-BX36</f>
        <v/>
      </c>
      <c r="BY83" s="399">
        <f>-BY36</f>
        <v/>
      </c>
      <c r="BZ83" s="399">
        <f>-BZ36</f>
        <v/>
      </c>
      <c r="CA83" s="399">
        <f>-CA36</f>
        <v/>
      </c>
      <c r="CB83" s="399">
        <f>-CB36</f>
        <v/>
      </c>
      <c r="CC83" s="399">
        <f>-CC36</f>
        <v/>
      </c>
      <c r="CD83" s="399">
        <f>-CD36</f>
        <v/>
      </c>
      <c r="CE83" s="399">
        <f>-CE36</f>
        <v/>
      </c>
      <c r="CF83" s="399">
        <f>-CF36</f>
        <v/>
      </c>
      <c r="CG83" s="399">
        <f>-CG36</f>
        <v/>
      </c>
      <c r="CH83" s="399">
        <f>-CH36</f>
        <v/>
      </c>
      <c r="CI83" s="399">
        <f>-CI36</f>
        <v/>
      </c>
      <c r="CJ83" s="399">
        <f>-CJ36</f>
        <v/>
      </c>
      <c r="CK83" s="399">
        <f>-CK36</f>
        <v/>
      </c>
      <c r="CL83" s="399">
        <f>-CL36</f>
        <v/>
      </c>
      <c r="CM83" s="399">
        <f>-CM36</f>
        <v/>
      </c>
      <c r="CN83" s="399">
        <f>-CN36</f>
        <v/>
      </c>
      <c r="CO83" s="399">
        <f>-CO36</f>
        <v/>
      </c>
      <c r="CP83" s="399">
        <f>-CP36</f>
        <v/>
      </c>
      <c r="CQ83" s="399">
        <f>-CQ36</f>
        <v/>
      </c>
      <c r="CR83" s="399">
        <f>-CR36</f>
        <v/>
      </c>
      <c r="CS83" s="399">
        <f>-CS36</f>
        <v/>
      </c>
      <c r="CT83" s="399">
        <f>-CT36</f>
        <v/>
      </c>
      <c r="CU83" s="399">
        <f>-CU36</f>
        <v/>
      </c>
      <c r="CV83" s="399">
        <f>-CV36</f>
        <v/>
      </c>
      <c r="CW83" s="399">
        <f>-CW36</f>
        <v/>
      </c>
      <c r="CX83" s="399">
        <f>-CX36</f>
        <v/>
      </c>
      <c r="CY83" s="399">
        <f>-CY36</f>
        <v/>
      </c>
      <c r="CZ83" s="399">
        <f>-CZ36</f>
        <v/>
      </c>
      <c r="DA83" s="399">
        <f>-DA36</f>
        <v/>
      </c>
      <c r="DB83" s="399">
        <f>-DB36</f>
        <v/>
      </c>
      <c r="DC83" s="399">
        <f>-DC36</f>
        <v/>
      </c>
      <c r="DD83" s="399">
        <f>-DD36</f>
        <v/>
      </c>
      <c r="DE83" s="399">
        <f>-DE36</f>
        <v/>
      </c>
    </row>
    <row r="84" hidden="1" outlineLevel="1" ht="15" customFormat="1" customHeight="1" s="380">
      <c r="A84" s="407" t="inlineStr">
        <is>
          <t>BD-12</t>
        </is>
      </c>
      <c r="B84" s="399" t="n">
        <v>0</v>
      </c>
      <c r="C84" s="399" t="n">
        <v>0</v>
      </c>
      <c r="D84" s="399" t="n">
        <v>0</v>
      </c>
      <c r="E84" s="399" t="n">
        <v>0</v>
      </c>
      <c r="F84" s="399">
        <f>-F37</f>
        <v/>
      </c>
      <c r="G84" s="399">
        <f>-G37</f>
        <v/>
      </c>
      <c r="H84" s="399">
        <f>-H37</f>
        <v/>
      </c>
      <c r="I84" s="399">
        <f>-I37</f>
        <v/>
      </c>
      <c r="J84" s="399">
        <f>-J37</f>
        <v/>
      </c>
      <c r="K84" s="399">
        <f>-K37</f>
        <v/>
      </c>
      <c r="L84" s="399">
        <f>-L37</f>
        <v/>
      </c>
      <c r="M84" s="399">
        <f>-M37</f>
        <v/>
      </c>
      <c r="N84" s="399">
        <f>-N37</f>
        <v/>
      </c>
      <c r="O84" s="399">
        <f>-O37</f>
        <v/>
      </c>
      <c r="P84" s="399">
        <f>-P37</f>
        <v/>
      </c>
      <c r="Q84" s="399">
        <f>-Q37</f>
        <v/>
      </c>
      <c r="R84" s="399">
        <f>-R37</f>
        <v/>
      </c>
      <c r="S84" s="399">
        <f>-S37</f>
        <v/>
      </c>
      <c r="T84" s="399">
        <f>-T37</f>
        <v/>
      </c>
      <c r="U84" s="399">
        <f>-U37</f>
        <v/>
      </c>
      <c r="V84" s="399">
        <f>-V37</f>
        <v/>
      </c>
      <c r="W84" s="399">
        <f>-W37</f>
        <v/>
      </c>
      <c r="X84" s="399">
        <f>-X37</f>
        <v/>
      </c>
      <c r="Y84" s="399">
        <f>-Y37</f>
        <v/>
      </c>
      <c r="Z84" s="399">
        <f>-Z37</f>
        <v/>
      </c>
      <c r="AA84" s="399">
        <f>-AA37</f>
        <v/>
      </c>
      <c r="AB84" s="399">
        <f>-AB37</f>
        <v/>
      </c>
      <c r="AC84" s="399">
        <f>-AC37</f>
        <v/>
      </c>
      <c r="AD84" s="399">
        <f>-AD37</f>
        <v/>
      </c>
      <c r="AE84" s="399">
        <f>-AE37</f>
        <v/>
      </c>
      <c r="AF84" s="399">
        <f>-AF37</f>
        <v/>
      </c>
      <c r="AG84" s="399">
        <f>-AG37</f>
        <v/>
      </c>
      <c r="AH84" s="399">
        <f>-AH37</f>
        <v/>
      </c>
      <c r="AI84" s="399">
        <f>-AI37</f>
        <v/>
      </c>
      <c r="AJ84" s="399">
        <f>-AJ37</f>
        <v/>
      </c>
      <c r="AK84" s="399">
        <f>-AK37</f>
        <v/>
      </c>
      <c r="AL84" s="399">
        <f>-AL37</f>
        <v/>
      </c>
      <c r="AM84" s="399">
        <f>-AM37</f>
        <v/>
      </c>
      <c r="AN84" s="399">
        <f>-AN37</f>
        <v/>
      </c>
      <c r="AO84" s="399">
        <f>-AO37</f>
        <v/>
      </c>
      <c r="AP84" s="399">
        <f>-AP37</f>
        <v/>
      </c>
      <c r="AQ84" s="399">
        <f>-AQ37</f>
        <v/>
      </c>
      <c r="AR84" s="399">
        <f>-AR37</f>
        <v/>
      </c>
      <c r="AS84" s="399">
        <f>-AS37</f>
        <v/>
      </c>
      <c r="AT84" s="399">
        <f>-AT37</f>
        <v/>
      </c>
      <c r="AU84" s="399">
        <f>-AU37</f>
        <v/>
      </c>
      <c r="AV84" s="399">
        <f>-AV37</f>
        <v/>
      </c>
      <c r="AW84" s="399">
        <f>-AW37</f>
        <v/>
      </c>
      <c r="AX84" s="399">
        <f>-AX37</f>
        <v/>
      </c>
      <c r="AY84" s="399">
        <f>-AY37</f>
        <v/>
      </c>
      <c r="AZ84" s="399">
        <f>-AZ37</f>
        <v/>
      </c>
      <c r="BA84" s="399">
        <f>-BA37</f>
        <v/>
      </c>
      <c r="BB84" s="399">
        <f>-BB37</f>
        <v/>
      </c>
      <c r="BC84" s="399">
        <f>-BC37</f>
        <v/>
      </c>
      <c r="BD84" s="399">
        <f>-BD37</f>
        <v/>
      </c>
      <c r="BE84" s="399">
        <f>-BE37</f>
        <v/>
      </c>
      <c r="BF84" s="399">
        <f>-BF37</f>
        <v/>
      </c>
      <c r="BG84" s="399">
        <f>-BG37</f>
        <v/>
      </c>
      <c r="BH84" s="399">
        <f>-BH37</f>
        <v/>
      </c>
      <c r="BI84" s="399">
        <f>-BI37</f>
        <v/>
      </c>
      <c r="BJ84" s="399">
        <f>-BJ37</f>
        <v/>
      </c>
      <c r="BK84" s="399">
        <f>-BK37</f>
        <v/>
      </c>
      <c r="BL84" s="399">
        <f>-BL37</f>
        <v/>
      </c>
      <c r="BM84" s="399">
        <f>-BM37</f>
        <v/>
      </c>
      <c r="BN84" s="399">
        <f>-BN37</f>
        <v/>
      </c>
      <c r="BO84" s="399">
        <f>-BO37</f>
        <v/>
      </c>
      <c r="BP84" s="399">
        <f>-BP37</f>
        <v/>
      </c>
      <c r="BQ84" s="399">
        <f>-BQ37</f>
        <v/>
      </c>
      <c r="BR84" s="399">
        <f>-BR37</f>
        <v/>
      </c>
      <c r="BS84" s="399">
        <f>-BS37</f>
        <v/>
      </c>
      <c r="BT84" s="399">
        <f>-BT37</f>
        <v/>
      </c>
      <c r="BU84" s="399">
        <f>-BU37</f>
        <v/>
      </c>
      <c r="BV84" s="399">
        <f>-BV37</f>
        <v/>
      </c>
      <c r="BW84" s="399">
        <f>-BW37</f>
        <v/>
      </c>
      <c r="BX84" s="399">
        <f>-BX37</f>
        <v/>
      </c>
      <c r="BY84" s="399">
        <f>-BY37</f>
        <v/>
      </c>
      <c r="BZ84" s="399">
        <f>-BZ37</f>
        <v/>
      </c>
      <c r="CA84" s="399">
        <f>-CA37</f>
        <v/>
      </c>
      <c r="CB84" s="399">
        <f>-CB37</f>
        <v/>
      </c>
      <c r="CC84" s="399">
        <f>-CC37</f>
        <v/>
      </c>
      <c r="CD84" s="399">
        <f>-CD37</f>
        <v/>
      </c>
      <c r="CE84" s="399">
        <f>-CE37</f>
        <v/>
      </c>
      <c r="CF84" s="399">
        <f>-CF37</f>
        <v/>
      </c>
      <c r="CG84" s="399">
        <f>-CG37</f>
        <v/>
      </c>
      <c r="CH84" s="399">
        <f>-CH37</f>
        <v/>
      </c>
      <c r="CI84" s="399">
        <f>-CI37</f>
        <v/>
      </c>
      <c r="CJ84" s="399">
        <f>-CJ37</f>
        <v/>
      </c>
      <c r="CK84" s="399">
        <f>-CK37</f>
        <v/>
      </c>
      <c r="CL84" s="399">
        <f>-CL37</f>
        <v/>
      </c>
      <c r="CM84" s="399">
        <f>-CM37</f>
        <v/>
      </c>
      <c r="CN84" s="399">
        <f>-CN37</f>
        <v/>
      </c>
      <c r="CO84" s="399">
        <f>-CO37</f>
        <v/>
      </c>
      <c r="CP84" s="399">
        <f>-CP37</f>
        <v/>
      </c>
      <c r="CQ84" s="399">
        <f>-CQ37</f>
        <v/>
      </c>
      <c r="CR84" s="399">
        <f>-CR37</f>
        <v/>
      </c>
      <c r="CS84" s="399">
        <f>-CS37</f>
        <v/>
      </c>
      <c r="CT84" s="399">
        <f>-CT37</f>
        <v/>
      </c>
      <c r="CU84" s="399">
        <f>-CU37</f>
        <v/>
      </c>
      <c r="CV84" s="399">
        <f>-CV37</f>
        <v/>
      </c>
      <c r="CW84" s="399">
        <f>-CW37</f>
        <v/>
      </c>
      <c r="CX84" s="399">
        <f>-CX37</f>
        <v/>
      </c>
      <c r="CY84" s="399">
        <f>-CY37</f>
        <v/>
      </c>
      <c r="CZ84" s="399">
        <f>-CZ37</f>
        <v/>
      </c>
      <c r="DA84" s="399">
        <f>-DA37</f>
        <v/>
      </c>
      <c r="DB84" s="399">
        <f>-DB37</f>
        <v/>
      </c>
      <c r="DC84" s="399">
        <f>-DC37</f>
        <v/>
      </c>
      <c r="DD84" s="399">
        <f>-DD37</f>
        <v/>
      </c>
      <c r="DE84" s="399">
        <f>-DE37</f>
        <v/>
      </c>
    </row>
    <row r="85" hidden="1" outlineLevel="1" ht="15" customFormat="1" customHeight="1" s="380">
      <c r="A85" s="407" t="inlineStr">
        <is>
          <t>BD-13</t>
        </is>
      </c>
      <c r="B85" s="399" t="n">
        <v>0</v>
      </c>
      <c r="C85" s="399" t="n">
        <v>0</v>
      </c>
      <c r="D85" s="399" t="n">
        <v>0</v>
      </c>
      <c r="E85" s="399" t="n">
        <v>0</v>
      </c>
      <c r="F85" s="399">
        <f>-F38</f>
        <v/>
      </c>
      <c r="G85" s="399">
        <f>-G38</f>
        <v/>
      </c>
      <c r="H85" s="399">
        <f>-H38</f>
        <v/>
      </c>
      <c r="I85" s="399">
        <f>-I38</f>
        <v/>
      </c>
      <c r="J85" s="399">
        <f>-J38</f>
        <v/>
      </c>
      <c r="K85" s="399">
        <f>-K38</f>
        <v/>
      </c>
      <c r="L85" s="399">
        <f>-L38</f>
        <v/>
      </c>
      <c r="M85" s="399">
        <f>-M38</f>
        <v/>
      </c>
      <c r="N85" s="399">
        <f>-N38</f>
        <v/>
      </c>
      <c r="O85" s="399">
        <f>-O38</f>
        <v/>
      </c>
      <c r="P85" s="399">
        <f>-P38</f>
        <v/>
      </c>
      <c r="Q85" s="399">
        <f>-Q38</f>
        <v/>
      </c>
      <c r="R85" s="399">
        <f>-R38</f>
        <v/>
      </c>
      <c r="S85" s="399">
        <f>-S38</f>
        <v/>
      </c>
      <c r="T85" s="399">
        <f>-T38</f>
        <v/>
      </c>
      <c r="U85" s="399">
        <f>-U38</f>
        <v/>
      </c>
      <c r="V85" s="399">
        <f>-V38</f>
        <v/>
      </c>
      <c r="W85" s="399">
        <f>-W38</f>
        <v/>
      </c>
      <c r="X85" s="399">
        <f>-X38</f>
        <v/>
      </c>
      <c r="Y85" s="399">
        <f>-Y38</f>
        <v/>
      </c>
      <c r="Z85" s="399">
        <f>-Z38</f>
        <v/>
      </c>
      <c r="AA85" s="399">
        <f>-AA38</f>
        <v/>
      </c>
      <c r="AB85" s="399">
        <f>-AB38</f>
        <v/>
      </c>
      <c r="AC85" s="399">
        <f>-AC38</f>
        <v/>
      </c>
      <c r="AD85" s="399">
        <f>-AD38</f>
        <v/>
      </c>
      <c r="AE85" s="399">
        <f>-AE38</f>
        <v/>
      </c>
      <c r="AF85" s="399">
        <f>-AF38</f>
        <v/>
      </c>
      <c r="AG85" s="399">
        <f>-AG38</f>
        <v/>
      </c>
      <c r="AH85" s="399">
        <f>-AH38</f>
        <v/>
      </c>
      <c r="AI85" s="399">
        <f>-AI38</f>
        <v/>
      </c>
      <c r="AJ85" s="399">
        <f>-AJ38</f>
        <v/>
      </c>
      <c r="AK85" s="399">
        <f>-AK38</f>
        <v/>
      </c>
      <c r="AL85" s="399">
        <f>-AL38</f>
        <v/>
      </c>
      <c r="AM85" s="399">
        <f>-AM38</f>
        <v/>
      </c>
      <c r="AN85" s="399">
        <f>-AN38</f>
        <v/>
      </c>
      <c r="AO85" s="399">
        <f>-AO38</f>
        <v/>
      </c>
      <c r="AP85" s="399">
        <f>-AP38</f>
        <v/>
      </c>
      <c r="AQ85" s="399">
        <f>-AQ38</f>
        <v/>
      </c>
      <c r="AR85" s="399">
        <f>-AR38</f>
        <v/>
      </c>
      <c r="AS85" s="399">
        <f>-AS38</f>
        <v/>
      </c>
      <c r="AT85" s="399">
        <f>-AT38</f>
        <v/>
      </c>
      <c r="AU85" s="399">
        <f>-AU38</f>
        <v/>
      </c>
      <c r="AV85" s="399">
        <f>-AV38</f>
        <v/>
      </c>
      <c r="AW85" s="399">
        <f>-AW38</f>
        <v/>
      </c>
      <c r="AX85" s="399">
        <f>-AX38</f>
        <v/>
      </c>
      <c r="AY85" s="399">
        <f>-AY38</f>
        <v/>
      </c>
      <c r="AZ85" s="399">
        <f>-AZ38</f>
        <v/>
      </c>
      <c r="BA85" s="399">
        <f>-BA38</f>
        <v/>
      </c>
      <c r="BB85" s="399">
        <f>-BB38</f>
        <v/>
      </c>
      <c r="BC85" s="399">
        <f>-BC38</f>
        <v/>
      </c>
      <c r="BD85" s="399">
        <f>-BD38</f>
        <v/>
      </c>
      <c r="BE85" s="399">
        <f>-BE38</f>
        <v/>
      </c>
      <c r="BF85" s="399">
        <f>-BF38</f>
        <v/>
      </c>
      <c r="BG85" s="399">
        <f>-BG38</f>
        <v/>
      </c>
      <c r="BH85" s="399">
        <f>-BH38</f>
        <v/>
      </c>
      <c r="BI85" s="399">
        <f>-BI38</f>
        <v/>
      </c>
      <c r="BJ85" s="399">
        <f>-BJ38</f>
        <v/>
      </c>
      <c r="BK85" s="399">
        <f>-BK38</f>
        <v/>
      </c>
      <c r="BL85" s="399">
        <f>-BL38</f>
        <v/>
      </c>
      <c r="BM85" s="399">
        <f>-BM38</f>
        <v/>
      </c>
      <c r="BN85" s="399">
        <f>-BN38</f>
        <v/>
      </c>
      <c r="BO85" s="399">
        <f>-BO38</f>
        <v/>
      </c>
      <c r="BP85" s="399">
        <f>-BP38</f>
        <v/>
      </c>
      <c r="BQ85" s="399">
        <f>-BQ38</f>
        <v/>
      </c>
      <c r="BR85" s="399">
        <f>-BR38</f>
        <v/>
      </c>
      <c r="BS85" s="399">
        <f>-BS38</f>
        <v/>
      </c>
      <c r="BT85" s="399">
        <f>-BT38</f>
        <v/>
      </c>
      <c r="BU85" s="399">
        <f>-BU38</f>
        <v/>
      </c>
      <c r="BV85" s="399">
        <f>-BV38</f>
        <v/>
      </c>
      <c r="BW85" s="399">
        <f>-BW38</f>
        <v/>
      </c>
      <c r="BX85" s="399">
        <f>-BX38</f>
        <v/>
      </c>
      <c r="BY85" s="399">
        <f>-BY38</f>
        <v/>
      </c>
      <c r="BZ85" s="399">
        <f>-BZ38</f>
        <v/>
      </c>
      <c r="CA85" s="399">
        <f>-CA38</f>
        <v/>
      </c>
      <c r="CB85" s="399">
        <f>-CB38</f>
        <v/>
      </c>
      <c r="CC85" s="399">
        <f>-CC38</f>
        <v/>
      </c>
      <c r="CD85" s="399">
        <f>-CD38</f>
        <v/>
      </c>
      <c r="CE85" s="399">
        <f>-CE38</f>
        <v/>
      </c>
      <c r="CF85" s="399">
        <f>-CF38</f>
        <v/>
      </c>
      <c r="CG85" s="399">
        <f>-CG38</f>
        <v/>
      </c>
      <c r="CH85" s="399">
        <f>-CH38</f>
        <v/>
      </c>
      <c r="CI85" s="399">
        <f>-CI38</f>
        <v/>
      </c>
      <c r="CJ85" s="399">
        <f>-CJ38</f>
        <v/>
      </c>
      <c r="CK85" s="399">
        <f>-CK38</f>
        <v/>
      </c>
      <c r="CL85" s="399">
        <f>-CL38</f>
        <v/>
      </c>
      <c r="CM85" s="399">
        <f>-CM38</f>
        <v/>
      </c>
      <c r="CN85" s="399">
        <f>-CN38</f>
        <v/>
      </c>
      <c r="CO85" s="399">
        <f>-CO38</f>
        <v/>
      </c>
      <c r="CP85" s="399">
        <f>-CP38</f>
        <v/>
      </c>
      <c r="CQ85" s="399">
        <f>-CQ38</f>
        <v/>
      </c>
      <c r="CR85" s="399">
        <f>-CR38</f>
        <v/>
      </c>
      <c r="CS85" s="399">
        <f>-CS38</f>
        <v/>
      </c>
      <c r="CT85" s="399">
        <f>-CT38</f>
        <v/>
      </c>
      <c r="CU85" s="399">
        <f>-CU38</f>
        <v/>
      </c>
      <c r="CV85" s="399">
        <f>-CV38</f>
        <v/>
      </c>
      <c r="CW85" s="399">
        <f>-CW38</f>
        <v/>
      </c>
      <c r="CX85" s="399">
        <f>-CX38</f>
        <v/>
      </c>
      <c r="CY85" s="399">
        <f>-CY38</f>
        <v/>
      </c>
      <c r="CZ85" s="399">
        <f>-CZ38</f>
        <v/>
      </c>
      <c r="DA85" s="399">
        <f>-DA38</f>
        <v/>
      </c>
      <c r="DB85" s="399">
        <f>-DB38</f>
        <v/>
      </c>
      <c r="DC85" s="399">
        <f>-DC38</f>
        <v/>
      </c>
      <c r="DD85" s="399">
        <f>-DD38</f>
        <v/>
      </c>
      <c r="DE85" s="399">
        <f>-DE38</f>
        <v/>
      </c>
    </row>
    <row r="86" hidden="1" outlineLevel="1" ht="15" customFormat="1" customHeight="1" s="380">
      <c r="A86" s="407" t="inlineStr">
        <is>
          <t>BD-14</t>
        </is>
      </c>
      <c r="B86" s="399" t="n">
        <v>0</v>
      </c>
      <c r="C86" s="399" t="n">
        <v>0</v>
      </c>
      <c r="D86" s="399" t="n">
        <v>0</v>
      </c>
      <c r="E86" s="399" t="n">
        <v>0</v>
      </c>
      <c r="F86" s="399">
        <f>-F39</f>
        <v/>
      </c>
      <c r="G86" s="399">
        <f>-G39</f>
        <v/>
      </c>
      <c r="H86" s="399">
        <f>-H39</f>
        <v/>
      </c>
      <c r="I86" s="399">
        <f>-I39</f>
        <v/>
      </c>
      <c r="J86" s="399">
        <f>-J39</f>
        <v/>
      </c>
      <c r="K86" s="399">
        <f>-K39</f>
        <v/>
      </c>
      <c r="L86" s="399">
        <f>-L39</f>
        <v/>
      </c>
      <c r="M86" s="399">
        <f>-M39</f>
        <v/>
      </c>
      <c r="N86" s="399">
        <f>-N39</f>
        <v/>
      </c>
      <c r="O86" s="399">
        <f>-O39</f>
        <v/>
      </c>
      <c r="P86" s="399">
        <f>-P39</f>
        <v/>
      </c>
      <c r="Q86" s="399">
        <f>-Q39</f>
        <v/>
      </c>
      <c r="R86" s="399">
        <f>-R39</f>
        <v/>
      </c>
      <c r="S86" s="399">
        <f>-S39</f>
        <v/>
      </c>
      <c r="T86" s="399">
        <f>-T39</f>
        <v/>
      </c>
      <c r="U86" s="399">
        <f>-U39</f>
        <v/>
      </c>
      <c r="V86" s="399">
        <f>-V39</f>
        <v/>
      </c>
      <c r="W86" s="399">
        <f>-W39</f>
        <v/>
      </c>
      <c r="X86" s="399">
        <f>-X39</f>
        <v/>
      </c>
      <c r="Y86" s="399">
        <f>-Y39</f>
        <v/>
      </c>
      <c r="Z86" s="399">
        <f>-Z39</f>
        <v/>
      </c>
      <c r="AA86" s="399">
        <f>-AA39</f>
        <v/>
      </c>
      <c r="AB86" s="399">
        <f>-AB39</f>
        <v/>
      </c>
      <c r="AC86" s="399">
        <f>-AC39</f>
        <v/>
      </c>
      <c r="AD86" s="399">
        <f>-AD39</f>
        <v/>
      </c>
      <c r="AE86" s="399">
        <f>-AE39</f>
        <v/>
      </c>
      <c r="AF86" s="399">
        <f>-AF39</f>
        <v/>
      </c>
      <c r="AG86" s="399">
        <f>-AG39</f>
        <v/>
      </c>
      <c r="AH86" s="399">
        <f>-AH39</f>
        <v/>
      </c>
      <c r="AI86" s="399">
        <f>-AI39</f>
        <v/>
      </c>
      <c r="AJ86" s="399">
        <f>-AJ39</f>
        <v/>
      </c>
      <c r="AK86" s="399">
        <f>-AK39</f>
        <v/>
      </c>
      <c r="AL86" s="399">
        <f>-AL39</f>
        <v/>
      </c>
      <c r="AM86" s="399">
        <f>-AM39</f>
        <v/>
      </c>
      <c r="AN86" s="399">
        <f>-AN39</f>
        <v/>
      </c>
      <c r="AO86" s="399">
        <f>-AO39</f>
        <v/>
      </c>
      <c r="AP86" s="399">
        <f>-AP39</f>
        <v/>
      </c>
      <c r="AQ86" s="399">
        <f>-AQ39</f>
        <v/>
      </c>
      <c r="AR86" s="399">
        <f>-AR39</f>
        <v/>
      </c>
      <c r="AS86" s="399">
        <f>-AS39</f>
        <v/>
      </c>
      <c r="AT86" s="399">
        <f>-AT39</f>
        <v/>
      </c>
      <c r="AU86" s="399">
        <f>-AU39</f>
        <v/>
      </c>
      <c r="AV86" s="399">
        <f>-AV39</f>
        <v/>
      </c>
      <c r="AW86" s="399">
        <f>-AW39</f>
        <v/>
      </c>
      <c r="AX86" s="399">
        <f>-AX39</f>
        <v/>
      </c>
      <c r="AY86" s="399">
        <f>-AY39</f>
        <v/>
      </c>
      <c r="AZ86" s="399">
        <f>-AZ39</f>
        <v/>
      </c>
      <c r="BA86" s="399">
        <f>-BA39</f>
        <v/>
      </c>
      <c r="BB86" s="399">
        <f>-BB39</f>
        <v/>
      </c>
      <c r="BC86" s="399">
        <f>-BC39</f>
        <v/>
      </c>
      <c r="BD86" s="399">
        <f>-BD39</f>
        <v/>
      </c>
      <c r="BE86" s="399">
        <f>-BE39</f>
        <v/>
      </c>
      <c r="BF86" s="399">
        <f>-BF39</f>
        <v/>
      </c>
      <c r="BG86" s="399">
        <f>-BG39</f>
        <v/>
      </c>
      <c r="BH86" s="399">
        <f>-BH39</f>
        <v/>
      </c>
      <c r="BI86" s="399">
        <f>-BI39</f>
        <v/>
      </c>
      <c r="BJ86" s="399">
        <f>-BJ39</f>
        <v/>
      </c>
      <c r="BK86" s="399">
        <f>-BK39</f>
        <v/>
      </c>
      <c r="BL86" s="399">
        <f>-BL39</f>
        <v/>
      </c>
      <c r="BM86" s="399">
        <f>-BM39</f>
        <v/>
      </c>
      <c r="BN86" s="399">
        <f>-BN39</f>
        <v/>
      </c>
      <c r="BO86" s="399">
        <f>-BO39</f>
        <v/>
      </c>
      <c r="BP86" s="399">
        <f>-BP39</f>
        <v/>
      </c>
      <c r="BQ86" s="399">
        <f>-BQ39</f>
        <v/>
      </c>
      <c r="BR86" s="399">
        <f>-BR39</f>
        <v/>
      </c>
      <c r="BS86" s="399">
        <f>-BS39</f>
        <v/>
      </c>
      <c r="BT86" s="399">
        <f>-BT39</f>
        <v/>
      </c>
      <c r="BU86" s="399">
        <f>-BU39</f>
        <v/>
      </c>
      <c r="BV86" s="399">
        <f>-BV39</f>
        <v/>
      </c>
      <c r="BW86" s="399">
        <f>-BW39</f>
        <v/>
      </c>
      <c r="BX86" s="399">
        <f>-BX39</f>
        <v/>
      </c>
      <c r="BY86" s="399">
        <f>-BY39</f>
        <v/>
      </c>
      <c r="BZ86" s="399">
        <f>-BZ39</f>
        <v/>
      </c>
      <c r="CA86" s="399">
        <f>-CA39</f>
        <v/>
      </c>
      <c r="CB86" s="399">
        <f>-CB39</f>
        <v/>
      </c>
      <c r="CC86" s="399">
        <f>-CC39</f>
        <v/>
      </c>
      <c r="CD86" s="399">
        <f>-CD39</f>
        <v/>
      </c>
      <c r="CE86" s="399">
        <f>-CE39</f>
        <v/>
      </c>
      <c r="CF86" s="399">
        <f>-CF39</f>
        <v/>
      </c>
      <c r="CG86" s="399">
        <f>-CG39</f>
        <v/>
      </c>
      <c r="CH86" s="399">
        <f>-CH39</f>
        <v/>
      </c>
      <c r="CI86" s="399">
        <f>-CI39</f>
        <v/>
      </c>
      <c r="CJ86" s="399">
        <f>-CJ39</f>
        <v/>
      </c>
      <c r="CK86" s="399">
        <f>-CK39</f>
        <v/>
      </c>
      <c r="CL86" s="399">
        <f>-CL39</f>
        <v/>
      </c>
      <c r="CM86" s="399">
        <f>-CM39</f>
        <v/>
      </c>
      <c r="CN86" s="399">
        <f>-CN39</f>
        <v/>
      </c>
      <c r="CO86" s="399">
        <f>-CO39</f>
        <v/>
      </c>
      <c r="CP86" s="399">
        <f>-CP39</f>
        <v/>
      </c>
      <c r="CQ86" s="399">
        <f>-CQ39</f>
        <v/>
      </c>
      <c r="CR86" s="399">
        <f>-CR39</f>
        <v/>
      </c>
      <c r="CS86" s="399">
        <f>-CS39</f>
        <v/>
      </c>
      <c r="CT86" s="399">
        <f>-CT39</f>
        <v/>
      </c>
      <c r="CU86" s="399">
        <f>-CU39</f>
        <v/>
      </c>
      <c r="CV86" s="399">
        <f>-CV39</f>
        <v/>
      </c>
      <c r="CW86" s="399">
        <f>-CW39</f>
        <v/>
      </c>
      <c r="CX86" s="399">
        <f>-CX39</f>
        <v/>
      </c>
      <c r="CY86" s="399">
        <f>-CY39</f>
        <v/>
      </c>
      <c r="CZ86" s="399">
        <f>-CZ39</f>
        <v/>
      </c>
      <c r="DA86" s="399">
        <f>-DA39</f>
        <v/>
      </c>
      <c r="DB86" s="399">
        <f>-DB39</f>
        <v/>
      </c>
      <c r="DC86" s="399">
        <f>-DC39</f>
        <v/>
      </c>
      <c r="DD86" s="399">
        <f>-DD39</f>
        <v/>
      </c>
      <c r="DE86" s="399">
        <f>-DE39</f>
        <v/>
      </c>
    </row>
    <row r="87" hidden="1" outlineLevel="1" ht="15" customFormat="1" customHeight="1" s="380">
      <c r="A87" s="407" t="inlineStr">
        <is>
          <t>BD-15</t>
        </is>
      </c>
      <c r="B87" s="399" t="n">
        <v>0</v>
      </c>
      <c r="C87" s="399" t="n">
        <v>0</v>
      </c>
      <c r="D87" s="399" t="n">
        <v>0</v>
      </c>
      <c r="E87" s="399" t="n">
        <v>0</v>
      </c>
      <c r="F87" s="399">
        <f>-F40</f>
        <v/>
      </c>
      <c r="G87" s="399">
        <f>-G40</f>
        <v/>
      </c>
      <c r="H87" s="399">
        <f>-H40</f>
        <v/>
      </c>
      <c r="I87" s="399">
        <f>-I40</f>
        <v/>
      </c>
      <c r="J87" s="399">
        <f>-J40</f>
        <v/>
      </c>
      <c r="K87" s="399">
        <f>-K40</f>
        <v/>
      </c>
      <c r="L87" s="399">
        <f>-L40</f>
        <v/>
      </c>
      <c r="M87" s="399">
        <f>-M40</f>
        <v/>
      </c>
      <c r="N87" s="399">
        <f>-N40</f>
        <v/>
      </c>
      <c r="O87" s="399">
        <f>-O40</f>
        <v/>
      </c>
      <c r="P87" s="399">
        <f>-P40</f>
        <v/>
      </c>
      <c r="Q87" s="399">
        <f>-Q40</f>
        <v/>
      </c>
      <c r="R87" s="399">
        <f>-R40</f>
        <v/>
      </c>
      <c r="S87" s="399">
        <f>-S40</f>
        <v/>
      </c>
      <c r="T87" s="399">
        <f>-T40</f>
        <v/>
      </c>
      <c r="U87" s="399">
        <f>-U40</f>
        <v/>
      </c>
      <c r="V87" s="399">
        <f>-V40</f>
        <v/>
      </c>
      <c r="W87" s="399">
        <f>-W40</f>
        <v/>
      </c>
      <c r="X87" s="399">
        <f>-X40</f>
        <v/>
      </c>
      <c r="Y87" s="399">
        <f>-Y40</f>
        <v/>
      </c>
      <c r="Z87" s="399">
        <f>-Z40</f>
        <v/>
      </c>
      <c r="AA87" s="399">
        <f>-AA40</f>
        <v/>
      </c>
      <c r="AB87" s="399">
        <f>-AB40</f>
        <v/>
      </c>
      <c r="AC87" s="399">
        <f>-AC40</f>
        <v/>
      </c>
      <c r="AD87" s="399">
        <f>-AD40</f>
        <v/>
      </c>
      <c r="AE87" s="399">
        <f>-AE40</f>
        <v/>
      </c>
      <c r="AF87" s="399">
        <f>-AF40</f>
        <v/>
      </c>
      <c r="AG87" s="399">
        <f>-AG40</f>
        <v/>
      </c>
      <c r="AH87" s="399">
        <f>-AH40</f>
        <v/>
      </c>
      <c r="AI87" s="399">
        <f>-AI40</f>
        <v/>
      </c>
      <c r="AJ87" s="399">
        <f>-AJ40</f>
        <v/>
      </c>
      <c r="AK87" s="399">
        <f>-AK40</f>
        <v/>
      </c>
      <c r="AL87" s="399">
        <f>-AL40</f>
        <v/>
      </c>
      <c r="AM87" s="399">
        <f>-AM40</f>
        <v/>
      </c>
      <c r="AN87" s="399">
        <f>-AN40</f>
        <v/>
      </c>
      <c r="AO87" s="399">
        <f>-AO40</f>
        <v/>
      </c>
      <c r="AP87" s="399">
        <f>-AP40</f>
        <v/>
      </c>
      <c r="AQ87" s="399">
        <f>-AQ40</f>
        <v/>
      </c>
      <c r="AR87" s="399">
        <f>-AR40</f>
        <v/>
      </c>
      <c r="AS87" s="399">
        <f>-AS40</f>
        <v/>
      </c>
      <c r="AT87" s="399">
        <f>-AT40</f>
        <v/>
      </c>
      <c r="AU87" s="399">
        <f>-AU40</f>
        <v/>
      </c>
      <c r="AV87" s="399">
        <f>-AV40</f>
        <v/>
      </c>
      <c r="AW87" s="399">
        <f>-AW40</f>
        <v/>
      </c>
      <c r="AX87" s="399">
        <f>-AX40</f>
        <v/>
      </c>
      <c r="AY87" s="399">
        <f>-AY40</f>
        <v/>
      </c>
      <c r="AZ87" s="399">
        <f>-AZ40</f>
        <v/>
      </c>
      <c r="BA87" s="399">
        <f>-BA40</f>
        <v/>
      </c>
      <c r="BB87" s="399">
        <f>-BB40</f>
        <v/>
      </c>
      <c r="BC87" s="399">
        <f>-BC40</f>
        <v/>
      </c>
      <c r="BD87" s="399">
        <f>-BD40</f>
        <v/>
      </c>
      <c r="BE87" s="399">
        <f>-BE40</f>
        <v/>
      </c>
      <c r="BF87" s="399">
        <f>-BF40</f>
        <v/>
      </c>
      <c r="BG87" s="399">
        <f>-BG40</f>
        <v/>
      </c>
      <c r="BH87" s="399">
        <f>-BH40</f>
        <v/>
      </c>
      <c r="BI87" s="399">
        <f>-BI40</f>
        <v/>
      </c>
      <c r="BJ87" s="399">
        <f>-BJ40</f>
        <v/>
      </c>
      <c r="BK87" s="399">
        <f>-BK40</f>
        <v/>
      </c>
      <c r="BL87" s="399">
        <f>-BL40</f>
        <v/>
      </c>
      <c r="BM87" s="399">
        <f>-BM40</f>
        <v/>
      </c>
      <c r="BN87" s="399">
        <f>-BN40</f>
        <v/>
      </c>
      <c r="BO87" s="399">
        <f>-BO40</f>
        <v/>
      </c>
      <c r="BP87" s="399">
        <f>-BP40</f>
        <v/>
      </c>
      <c r="BQ87" s="399">
        <f>-BQ40</f>
        <v/>
      </c>
      <c r="BR87" s="399">
        <f>-BR40</f>
        <v/>
      </c>
      <c r="BS87" s="399">
        <f>-BS40</f>
        <v/>
      </c>
      <c r="BT87" s="399">
        <f>-BT40</f>
        <v/>
      </c>
      <c r="BU87" s="399">
        <f>-BU40</f>
        <v/>
      </c>
      <c r="BV87" s="399">
        <f>-BV40</f>
        <v/>
      </c>
      <c r="BW87" s="399">
        <f>-BW40</f>
        <v/>
      </c>
      <c r="BX87" s="399">
        <f>-BX40</f>
        <v/>
      </c>
      <c r="BY87" s="399">
        <f>-BY40</f>
        <v/>
      </c>
      <c r="BZ87" s="399">
        <f>-BZ40</f>
        <v/>
      </c>
      <c r="CA87" s="399">
        <f>-CA40</f>
        <v/>
      </c>
      <c r="CB87" s="399">
        <f>-CB40</f>
        <v/>
      </c>
      <c r="CC87" s="399">
        <f>-CC40</f>
        <v/>
      </c>
      <c r="CD87" s="399">
        <f>-CD40</f>
        <v/>
      </c>
      <c r="CE87" s="399">
        <f>-CE40</f>
        <v/>
      </c>
      <c r="CF87" s="399">
        <f>-CF40</f>
        <v/>
      </c>
      <c r="CG87" s="399">
        <f>-CG40</f>
        <v/>
      </c>
      <c r="CH87" s="399">
        <f>-CH40</f>
        <v/>
      </c>
      <c r="CI87" s="399">
        <f>-CI40</f>
        <v/>
      </c>
      <c r="CJ87" s="399">
        <f>-CJ40</f>
        <v/>
      </c>
      <c r="CK87" s="399">
        <f>-CK40</f>
        <v/>
      </c>
      <c r="CL87" s="399">
        <f>-CL40</f>
        <v/>
      </c>
      <c r="CM87" s="399">
        <f>-CM40</f>
        <v/>
      </c>
      <c r="CN87" s="399">
        <f>-CN40</f>
        <v/>
      </c>
      <c r="CO87" s="399">
        <f>-CO40</f>
        <v/>
      </c>
      <c r="CP87" s="399">
        <f>-CP40</f>
        <v/>
      </c>
      <c r="CQ87" s="399">
        <f>-CQ40</f>
        <v/>
      </c>
      <c r="CR87" s="399">
        <f>-CR40</f>
        <v/>
      </c>
      <c r="CS87" s="399">
        <f>-CS40</f>
        <v/>
      </c>
      <c r="CT87" s="399">
        <f>-CT40</f>
        <v/>
      </c>
      <c r="CU87" s="399">
        <f>-CU40</f>
        <v/>
      </c>
      <c r="CV87" s="399">
        <f>-CV40</f>
        <v/>
      </c>
      <c r="CW87" s="399">
        <f>-CW40</f>
        <v/>
      </c>
      <c r="CX87" s="399">
        <f>-CX40</f>
        <v/>
      </c>
      <c r="CY87" s="399">
        <f>-CY40</f>
        <v/>
      </c>
      <c r="CZ87" s="399">
        <f>-CZ40</f>
        <v/>
      </c>
      <c r="DA87" s="399">
        <f>-DA40</f>
        <v/>
      </c>
      <c r="DB87" s="399">
        <f>-DB40</f>
        <v/>
      </c>
      <c r="DC87" s="399">
        <f>-DC40</f>
        <v/>
      </c>
      <c r="DD87" s="399">
        <f>-DD40</f>
        <v/>
      </c>
      <c r="DE87" s="399">
        <f>-DE40</f>
        <v/>
      </c>
    </row>
    <row r="88" hidden="1" outlineLevel="1" ht="15" customFormat="1" customHeight="1" s="380">
      <c r="A88" s="407" t="inlineStr">
        <is>
          <t>BD-16</t>
        </is>
      </c>
      <c r="B88" s="399" t="n">
        <v>0</v>
      </c>
      <c r="C88" s="399" t="n">
        <v>0</v>
      </c>
      <c r="D88" s="399" t="n">
        <v>0</v>
      </c>
      <c r="E88" s="399" t="n">
        <v>0</v>
      </c>
      <c r="F88" s="399">
        <f>-F41</f>
        <v/>
      </c>
      <c r="G88" s="399">
        <f>-G41</f>
        <v/>
      </c>
      <c r="H88" s="399">
        <f>-H41</f>
        <v/>
      </c>
      <c r="I88" s="399">
        <f>-I41</f>
        <v/>
      </c>
      <c r="J88" s="399">
        <f>-J41</f>
        <v/>
      </c>
      <c r="K88" s="399">
        <f>-K41</f>
        <v/>
      </c>
      <c r="L88" s="399">
        <f>-L41</f>
        <v/>
      </c>
      <c r="M88" s="399">
        <f>-M41</f>
        <v/>
      </c>
      <c r="N88" s="399">
        <f>-N41</f>
        <v/>
      </c>
      <c r="O88" s="399">
        <f>-O41</f>
        <v/>
      </c>
      <c r="P88" s="399">
        <f>-P41</f>
        <v/>
      </c>
      <c r="Q88" s="399">
        <f>-Q41</f>
        <v/>
      </c>
      <c r="R88" s="399">
        <f>-R41</f>
        <v/>
      </c>
      <c r="S88" s="399">
        <f>-S41</f>
        <v/>
      </c>
      <c r="T88" s="399">
        <f>-T41</f>
        <v/>
      </c>
      <c r="U88" s="399">
        <f>-U41</f>
        <v/>
      </c>
      <c r="V88" s="399">
        <f>-V41</f>
        <v/>
      </c>
      <c r="W88" s="399">
        <f>-W41</f>
        <v/>
      </c>
      <c r="X88" s="399">
        <f>-X41</f>
        <v/>
      </c>
      <c r="Y88" s="399">
        <f>-Y41</f>
        <v/>
      </c>
      <c r="Z88" s="399">
        <f>-Z41</f>
        <v/>
      </c>
      <c r="AA88" s="399">
        <f>-AA41</f>
        <v/>
      </c>
      <c r="AB88" s="399">
        <f>-AB41</f>
        <v/>
      </c>
      <c r="AC88" s="399">
        <f>-AC41</f>
        <v/>
      </c>
      <c r="AD88" s="399">
        <f>-AD41</f>
        <v/>
      </c>
      <c r="AE88" s="399">
        <f>-AE41</f>
        <v/>
      </c>
      <c r="AF88" s="399">
        <f>-AF41</f>
        <v/>
      </c>
      <c r="AG88" s="399">
        <f>-AG41</f>
        <v/>
      </c>
      <c r="AH88" s="399">
        <f>-AH41</f>
        <v/>
      </c>
      <c r="AI88" s="399">
        <f>-AI41</f>
        <v/>
      </c>
      <c r="AJ88" s="399">
        <f>-AJ41</f>
        <v/>
      </c>
      <c r="AK88" s="399">
        <f>-AK41</f>
        <v/>
      </c>
      <c r="AL88" s="399">
        <f>-AL41</f>
        <v/>
      </c>
      <c r="AM88" s="399">
        <f>-AM41</f>
        <v/>
      </c>
      <c r="AN88" s="399">
        <f>-AN41</f>
        <v/>
      </c>
      <c r="AO88" s="399">
        <f>-AO41</f>
        <v/>
      </c>
      <c r="AP88" s="399">
        <f>-AP41</f>
        <v/>
      </c>
      <c r="AQ88" s="399">
        <f>-AQ41</f>
        <v/>
      </c>
      <c r="AR88" s="399">
        <f>-AR41</f>
        <v/>
      </c>
      <c r="AS88" s="399">
        <f>-AS41</f>
        <v/>
      </c>
      <c r="AT88" s="399">
        <f>-AT41</f>
        <v/>
      </c>
      <c r="AU88" s="399">
        <f>-AU41</f>
        <v/>
      </c>
      <c r="AV88" s="399">
        <f>-AV41</f>
        <v/>
      </c>
      <c r="AW88" s="399">
        <f>-AW41</f>
        <v/>
      </c>
      <c r="AX88" s="399">
        <f>-AX41</f>
        <v/>
      </c>
      <c r="AY88" s="399">
        <f>-AY41</f>
        <v/>
      </c>
      <c r="AZ88" s="399">
        <f>-AZ41</f>
        <v/>
      </c>
      <c r="BA88" s="399">
        <f>-BA41</f>
        <v/>
      </c>
      <c r="BB88" s="399">
        <f>-BB41</f>
        <v/>
      </c>
      <c r="BC88" s="399">
        <f>-BC41</f>
        <v/>
      </c>
      <c r="BD88" s="399">
        <f>-BD41</f>
        <v/>
      </c>
      <c r="BE88" s="399">
        <f>-BE41</f>
        <v/>
      </c>
      <c r="BF88" s="399">
        <f>-BF41</f>
        <v/>
      </c>
      <c r="BG88" s="399">
        <f>-BG41</f>
        <v/>
      </c>
      <c r="BH88" s="399">
        <f>-BH41</f>
        <v/>
      </c>
      <c r="BI88" s="399">
        <f>-BI41</f>
        <v/>
      </c>
      <c r="BJ88" s="399">
        <f>-BJ41</f>
        <v/>
      </c>
      <c r="BK88" s="399">
        <f>-BK41</f>
        <v/>
      </c>
      <c r="BL88" s="399">
        <f>-BL41</f>
        <v/>
      </c>
      <c r="BM88" s="399">
        <f>-BM41</f>
        <v/>
      </c>
      <c r="BN88" s="399">
        <f>-BN41</f>
        <v/>
      </c>
      <c r="BO88" s="399">
        <f>-BO41</f>
        <v/>
      </c>
      <c r="BP88" s="399">
        <f>-BP41</f>
        <v/>
      </c>
      <c r="BQ88" s="399">
        <f>-BQ41</f>
        <v/>
      </c>
      <c r="BR88" s="399">
        <f>-BR41</f>
        <v/>
      </c>
      <c r="BS88" s="399">
        <f>-BS41</f>
        <v/>
      </c>
      <c r="BT88" s="399">
        <f>-BT41</f>
        <v/>
      </c>
      <c r="BU88" s="399">
        <f>-BU41</f>
        <v/>
      </c>
      <c r="BV88" s="399">
        <f>-BV41</f>
        <v/>
      </c>
      <c r="BW88" s="399">
        <f>-BW41</f>
        <v/>
      </c>
      <c r="BX88" s="399">
        <f>-BX41</f>
        <v/>
      </c>
      <c r="BY88" s="399">
        <f>-BY41</f>
        <v/>
      </c>
      <c r="BZ88" s="399">
        <f>-BZ41</f>
        <v/>
      </c>
      <c r="CA88" s="399">
        <f>-CA41</f>
        <v/>
      </c>
      <c r="CB88" s="399">
        <f>-CB41</f>
        <v/>
      </c>
      <c r="CC88" s="399">
        <f>-CC41</f>
        <v/>
      </c>
      <c r="CD88" s="399">
        <f>-CD41</f>
        <v/>
      </c>
      <c r="CE88" s="399">
        <f>-CE41</f>
        <v/>
      </c>
      <c r="CF88" s="399">
        <f>-CF41</f>
        <v/>
      </c>
      <c r="CG88" s="399">
        <f>-CG41</f>
        <v/>
      </c>
      <c r="CH88" s="399">
        <f>-CH41</f>
        <v/>
      </c>
      <c r="CI88" s="399">
        <f>-CI41</f>
        <v/>
      </c>
      <c r="CJ88" s="399">
        <f>-CJ41</f>
        <v/>
      </c>
      <c r="CK88" s="399">
        <f>-CK41</f>
        <v/>
      </c>
      <c r="CL88" s="399">
        <f>-CL41</f>
        <v/>
      </c>
      <c r="CM88" s="399">
        <f>-CM41</f>
        <v/>
      </c>
      <c r="CN88" s="399">
        <f>-CN41</f>
        <v/>
      </c>
      <c r="CO88" s="399">
        <f>-CO41</f>
        <v/>
      </c>
      <c r="CP88" s="399">
        <f>-CP41</f>
        <v/>
      </c>
      <c r="CQ88" s="399">
        <f>-CQ41</f>
        <v/>
      </c>
      <c r="CR88" s="399">
        <f>-CR41</f>
        <v/>
      </c>
      <c r="CS88" s="399">
        <f>-CS41</f>
        <v/>
      </c>
      <c r="CT88" s="399">
        <f>-CT41</f>
        <v/>
      </c>
      <c r="CU88" s="399">
        <f>-CU41</f>
        <v/>
      </c>
      <c r="CV88" s="399">
        <f>-CV41</f>
        <v/>
      </c>
      <c r="CW88" s="399">
        <f>-CW41</f>
        <v/>
      </c>
      <c r="CX88" s="399">
        <f>-CX41</f>
        <v/>
      </c>
      <c r="CY88" s="399">
        <f>-CY41</f>
        <v/>
      </c>
      <c r="CZ88" s="399">
        <f>-CZ41</f>
        <v/>
      </c>
      <c r="DA88" s="399">
        <f>-DA41</f>
        <v/>
      </c>
      <c r="DB88" s="399">
        <f>-DB41</f>
        <v/>
      </c>
      <c r="DC88" s="399">
        <f>-DC41</f>
        <v/>
      </c>
      <c r="DD88" s="399">
        <f>-DD41</f>
        <v/>
      </c>
      <c r="DE88" s="399">
        <f>-DE41</f>
        <v/>
      </c>
    </row>
    <row r="89" hidden="1" outlineLevel="1" ht="15" customFormat="1" customHeight="1" s="380">
      <c r="A89" s="407" t="inlineStr">
        <is>
          <t>BD-17</t>
        </is>
      </c>
      <c r="B89" s="399" t="n">
        <v>0</v>
      </c>
      <c r="C89" s="399" t="n">
        <v>0</v>
      </c>
      <c r="D89" s="399" t="n">
        <v>0</v>
      </c>
      <c r="E89" s="399" t="n">
        <v>0</v>
      </c>
      <c r="F89" s="399">
        <f>-F42</f>
        <v/>
      </c>
      <c r="G89" s="399">
        <f>-G42</f>
        <v/>
      </c>
      <c r="H89" s="399">
        <f>-H42</f>
        <v/>
      </c>
      <c r="I89" s="399">
        <f>-I42</f>
        <v/>
      </c>
      <c r="J89" s="399">
        <f>-J42</f>
        <v/>
      </c>
      <c r="K89" s="399">
        <f>-K42</f>
        <v/>
      </c>
      <c r="L89" s="399">
        <f>-L42</f>
        <v/>
      </c>
      <c r="M89" s="399">
        <f>-M42</f>
        <v/>
      </c>
      <c r="N89" s="399">
        <f>-N42</f>
        <v/>
      </c>
      <c r="O89" s="399">
        <f>-O42</f>
        <v/>
      </c>
      <c r="P89" s="399">
        <f>-P42</f>
        <v/>
      </c>
      <c r="Q89" s="399">
        <f>-Q42</f>
        <v/>
      </c>
      <c r="R89" s="399">
        <f>-R42</f>
        <v/>
      </c>
      <c r="S89" s="399">
        <f>-S42</f>
        <v/>
      </c>
      <c r="T89" s="399">
        <f>-T42</f>
        <v/>
      </c>
      <c r="U89" s="399">
        <f>-U42</f>
        <v/>
      </c>
      <c r="V89" s="399">
        <f>-V42</f>
        <v/>
      </c>
      <c r="W89" s="399">
        <f>-W42</f>
        <v/>
      </c>
      <c r="X89" s="399">
        <f>-X42</f>
        <v/>
      </c>
      <c r="Y89" s="399">
        <f>-Y42</f>
        <v/>
      </c>
      <c r="Z89" s="399">
        <f>-Z42</f>
        <v/>
      </c>
      <c r="AA89" s="399">
        <f>-AA42</f>
        <v/>
      </c>
      <c r="AB89" s="399">
        <f>-AB42</f>
        <v/>
      </c>
      <c r="AC89" s="399">
        <f>-AC42</f>
        <v/>
      </c>
      <c r="AD89" s="399">
        <f>-AD42</f>
        <v/>
      </c>
      <c r="AE89" s="399">
        <f>-AE42</f>
        <v/>
      </c>
      <c r="AF89" s="399">
        <f>-AF42</f>
        <v/>
      </c>
      <c r="AG89" s="399">
        <f>-AG42</f>
        <v/>
      </c>
      <c r="AH89" s="399">
        <f>-AH42</f>
        <v/>
      </c>
      <c r="AI89" s="399">
        <f>-AI42</f>
        <v/>
      </c>
      <c r="AJ89" s="399">
        <f>-AJ42</f>
        <v/>
      </c>
      <c r="AK89" s="399">
        <f>-AK42</f>
        <v/>
      </c>
      <c r="AL89" s="399">
        <f>-AL42</f>
        <v/>
      </c>
      <c r="AM89" s="399">
        <f>-AM42</f>
        <v/>
      </c>
      <c r="AN89" s="399">
        <f>-AN42</f>
        <v/>
      </c>
      <c r="AO89" s="399">
        <f>-AO42</f>
        <v/>
      </c>
      <c r="AP89" s="399">
        <f>-AP42</f>
        <v/>
      </c>
      <c r="AQ89" s="399">
        <f>-AQ42</f>
        <v/>
      </c>
      <c r="AR89" s="399">
        <f>-AR42</f>
        <v/>
      </c>
      <c r="AS89" s="399">
        <f>-AS42</f>
        <v/>
      </c>
      <c r="AT89" s="399">
        <f>-AT42</f>
        <v/>
      </c>
      <c r="AU89" s="399">
        <f>-AU42</f>
        <v/>
      </c>
      <c r="AV89" s="399">
        <f>-AV42</f>
        <v/>
      </c>
      <c r="AW89" s="399">
        <f>-AW42</f>
        <v/>
      </c>
      <c r="AX89" s="399">
        <f>-AX42</f>
        <v/>
      </c>
      <c r="AY89" s="399">
        <f>-AY42</f>
        <v/>
      </c>
      <c r="AZ89" s="399">
        <f>-AZ42</f>
        <v/>
      </c>
      <c r="BA89" s="399">
        <f>-BA42</f>
        <v/>
      </c>
      <c r="BB89" s="399">
        <f>-BB42</f>
        <v/>
      </c>
      <c r="BC89" s="399">
        <f>-BC42</f>
        <v/>
      </c>
      <c r="BD89" s="399">
        <f>-BD42</f>
        <v/>
      </c>
      <c r="BE89" s="399">
        <f>-BE42</f>
        <v/>
      </c>
      <c r="BF89" s="399">
        <f>-BF42</f>
        <v/>
      </c>
      <c r="BG89" s="399">
        <f>-BG42</f>
        <v/>
      </c>
      <c r="BH89" s="399">
        <f>-BH42</f>
        <v/>
      </c>
      <c r="BI89" s="399">
        <f>-BI42</f>
        <v/>
      </c>
      <c r="BJ89" s="399">
        <f>-BJ42</f>
        <v/>
      </c>
      <c r="BK89" s="399">
        <f>-BK42</f>
        <v/>
      </c>
      <c r="BL89" s="399">
        <f>-BL42</f>
        <v/>
      </c>
      <c r="BM89" s="399">
        <f>-BM42</f>
        <v/>
      </c>
      <c r="BN89" s="399">
        <f>-BN42</f>
        <v/>
      </c>
      <c r="BO89" s="399">
        <f>-BO42</f>
        <v/>
      </c>
      <c r="BP89" s="399">
        <f>-BP42</f>
        <v/>
      </c>
      <c r="BQ89" s="399">
        <f>-BQ42</f>
        <v/>
      </c>
      <c r="BR89" s="399">
        <f>-BR42</f>
        <v/>
      </c>
      <c r="BS89" s="399">
        <f>-BS42</f>
        <v/>
      </c>
      <c r="BT89" s="399">
        <f>-BT42</f>
        <v/>
      </c>
      <c r="BU89" s="399">
        <f>-BU42</f>
        <v/>
      </c>
      <c r="BV89" s="399">
        <f>-BV42</f>
        <v/>
      </c>
      <c r="BW89" s="399">
        <f>-BW42</f>
        <v/>
      </c>
      <c r="BX89" s="399">
        <f>-BX42</f>
        <v/>
      </c>
      <c r="BY89" s="399">
        <f>-BY42</f>
        <v/>
      </c>
      <c r="BZ89" s="399">
        <f>-BZ42</f>
        <v/>
      </c>
      <c r="CA89" s="399">
        <f>-CA42</f>
        <v/>
      </c>
      <c r="CB89" s="399">
        <f>-CB42</f>
        <v/>
      </c>
      <c r="CC89" s="399">
        <f>-CC42</f>
        <v/>
      </c>
      <c r="CD89" s="399">
        <f>-CD42</f>
        <v/>
      </c>
      <c r="CE89" s="399">
        <f>-CE42</f>
        <v/>
      </c>
      <c r="CF89" s="399">
        <f>-CF42</f>
        <v/>
      </c>
      <c r="CG89" s="399">
        <f>-CG42</f>
        <v/>
      </c>
      <c r="CH89" s="399">
        <f>-CH42</f>
        <v/>
      </c>
      <c r="CI89" s="399">
        <f>-CI42</f>
        <v/>
      </c>
      <c r="CJ89" s="399">
        <f>-CJ42</f>
        <v/>
      </c>
      <c r="CK89" s="399">
        <f>-CK42</f>
        <v/>
      </c>
      <c r="CL89" s="399">
        <f>-CL42</f>
        <v/>
      </c>
      <c r="CM89" s="399">
        <f>-CM42</f>
        <v/>
      </c>
      <c r="CN89" s="399">
        <f>-CN42</f>
        <v/>
      </c>
      <c r="CO89" s="399">
        <f>-CO42</f>
        <v/>
      </c>
      <c r="CP89" s="399">
        <f>-CP42</f>
        <v/>
      </c>
      <c r="CQ89" s="399">
        <f>-CQ42</f>
        <v/>
      </c>
      <c r="CR89" s="399">
        <f>-CR42</f>
        <v/>
      </c>
      <c r="CS89" s="399">
        <f>-CS42</f>
        <v/>
      </c>
      <c r="CT89" s="399">
        <f>-CT42</f>
        <v/>
      </c>
      <c r="CU89" s="399">
        <f>-CU42</f>
        <v/>
      </c>
      <c r="CV89" s="399">
        <f>-CV42</f>
        <v/>
      </c>
      <c r="CW89" s="399">
        <f>-CW42</f>
        <v/>
      </c>
      <c r="CX89" s="399">
        <f>-CX42</f>
        <v/>
      </c>
      <c r="CY89" s="399">
        <f>-CY42</f>
        <v/>
      </c>
      <c r="CZ89" s="399">
        <f>-CZ42</f>
        <v/>
      </c>
      <c r="DA89" s="399">
        <f>-DA42</f>
        <v/>
      </c>
      <c r="DB89" s="399">
        <f>-DB42</f>
        <v/>
      </c>
      <c r="DC89" s="399">
        <f>-DC42</f>
        <v/>
      </c>
      <c r="DD89" s="399">
        <f>-DD42</f>
        <v/>
      </c>
      <c r="DE89" s="399">
        <f>-DE42</f>
        <v/>
      </c>
    </row>
    <row r="90" hidden="1" outlineLevel="1" ht="15" customFormat="1" customHeight="1" s="380">
      <c r="A90" s="407" t="inlineStr">
        <is>
          <t>BD-18</t>
        </is>
      </c>
      <c r="B90" s="399" t="n">
        <v>0</v>
      </c>
      <c r="C90" s="399" t="n">
        <v>0</v>
      </c>
      <c r="D90" s="399" t="n">
        <v>0</v>
      </c>
      <c r="E90" s="399" t="n">
        <v>0</v>
      </c>
      <c r="F90" s="399">
        <f>-F43</f>
        <v/>
      </c>
      <c r="G90" s="399">
        <f>-G43</f>
        <v/>
      </c>
      <c r="H90" s="399">
        <f>-H43</f>
        <v/>
      </c>
      <c r="I90" s="399">
        <f>-I43</f>
        <v/>
      </c>
      <c r="J90" s="399">
        <f>-J43</f>
        <v/>
      </c>
      <c r="K90" s="399">
        <f>-K43</f>
        <v/>
      </c>
      <c r="L90" s="399">
        <f>-L43</f>
        <v/>
      </c>
      <c r="M90" s="399">
        <f>-M43</f>
        <v/>
      </c>
      <c r="N90" s="399">
        <f>-N43</f>
        <v/>
      </c>
      <c r="O90" s="399">
        <f>-O43</f>
        <v/>
      </c>
      <c r="P90" s="399">
        <f>-P43</f>
        <v/>
      </c>
      <c r="Q90" s="399">
        <f>-Q43</f>
        <v/>
      </c>
      <c r="R90" s="399">
        <f>-R43</f>
        <v/>
      </c>
      <c r="S90" s="399">
        <f>-S43</f>
        <v/>
      </c>
      <c r="T90" s="399">
        <f>-T43</f>
        <v/>
      </c>
      <c r="U90" s="399">
        <f>-U43</f>
        <v/>
      </c>
      <c r="V90" s="399">
        <f>-V43</f>
        <v/>
      </c>
      <c r="W90" s="399">
        <f>-W43</f>
        <v/>
      </c>
      <c r="X90" s="399">
        <f>-X43</f>
        <v/>
      </c>
      <c r="Y90" s="399">
        <f>-Y43</f>
        <v/>
      </c>
      <c r="Z90" s="399">
        <f>-Z43</f>
        <v/>
      </c>
      <c r="AA90" s="399">
        <f>-AA43</f>
        <v/>
      </c>
      <c r="AB90" s="399">
        <f>-AB43</f>
        <v/>
      </c>
      <c r="AC90" s="399">
        <f>-AC43</f>
        <v/>
      </c>
      <c r="AD90" s="399">
        <f>-AD43</f>
        <v/>
      </c>
      <c r="AE90" s="399">
        <f>-AE43</f>
        <v/>
      </c>
      <c r="AF90" s="399">
        <f>-AF43</f>
        <v/>
      </c>
      <c r="AG90" s="399">
        <f>-AG43</f>
        <v/>
      </c>
      <c r="AH90" s="399">
        <f>-AH43</f>
        <v/>
      </c>
      <c r="AI90" s="399">
        <f>-AI43</f>
        <v/>
      </c>
      <c r="AJ90" s="399">
        <f>-AJ43</f>
        <v/>
      </c>
      <c r="AK90" s="399">
        <f>-AK43</f>
        <v/>
      </c>
      <c r="AL90" s="399">
        <f>-AL43</f>
        <v/>
      </c>
      <c r="AM90" s="399">
        <f>-AM43</f>
        <v/>
      </c>
      <c r="AN90" s="399">
        <f>-AN43</f>
        <v/>
      </c>
      <c r="AO90" s="399">
        <f>-AO43</f>
        <v/>
      </c>
      <c r="AP90" s="399">
        <f>-AP43</f>
        <v/>
      </c>
      <c r="AQ90" s="399">
        <f>-AQ43</f>
        <v/>
      </c>
      <c r="AR90" s="399">
        <f>-AR43</f>
        <v/>
      </c>
      <c r="AS90" s="399">
        <f>-AS43</f>
        <v/>
      </c>
      <c r="AT90" s="399">
        <f>-AT43</f>
        <v/>
      </c>
      <c r="AU90" s="399">
        <f>-AU43</f>
        <v/>
      </c>
      <c r="AV90" s="399">
        <f>-AV43</f>
        <v/>
      </c>
      <c r="AW90" s="399">
        <f>-AW43</f>
        <v/>
      </c>
      <c r="AX90" s="399">
        <f>-AX43</f>
        <v/>
      </c>
      <c r="AY90" s="399">
        <f>-AY43</f>
        <v/>
      </c>
      <c r="AZ90" s="399">
        <f>-AZ43</f>
        <v/>
      </c>
      <c r="BA90" s="399">
        <f>-BA43</f>
        <v/>
      </c>
      <c r="BB90" s="399">
        <f>-BB43</f>
        <v/>
      </c>
      <c r="BC90" s="399">
        <f>-BC43</f>
        <v/>
      </c>
      <c r="BD90" s="399">
        <f>-BD43</f>
        <v/>
      </c>
      <c r="BE90" s="399">
        <f>-BE43</f>
        <v/>
      </c>
      <c r="BF90" s="399">
        <f>-BF43</f>
        <v/>
      </c>
      <c r="BG90" s="399">
        <f>-BG43</f>
        <v/>
      </c>
      <c r="BH90" s="399">
        <f>-BH43</f>
        <v/>
      </c>
      <c r="BI90" s="399">
        <f>-BI43</f>
        <v/>
      </c>
      <c r="BJ90" s="399">
        <f>-BJ43</f>
        <v/>
      </c>
      <c r="BK90" s="399">
        <f>-BK43</f>
        <v/>
      </c>
      <c r="BL90" s="399">
        <f>-BL43</f>
        <v/>
      </c>
      <c r="BM90" s="399">
        <f>-BM43</f>
        <v/>
      </c>
      <c r="BN90" s="399">
        <f>-BN43</f>
        <v/>
      </c>
      <c r="BO90" s="399">
        <f>-BO43</f>
        <v/>
      </c>
      <c r="BP90" s="399">
        <f>-BP43</f>
        <v/>
      </c>
      <c r="BQ90" s="399">
        <f>-BQ43</f>
        <v/>
      </c>
      <c r="BR90" s="399">
        <f>-BR43</f>
        <v/>
      </c>
      <c r="BS90" s="399">
        <f>-BS43</f>
        <v/>
      </c>
      <c r="BT90" s="399">
        <f>-BT43</f>
        <v/>
      </c>
      <c r="BU90" s="399">
        <f>-BU43</f>
        <v/>
      </c>
      <c r="BV90" s="399">
        <f>-BV43</f>
        <v/>
      </c>
      <c r="BW90" s="399">
        <f>-BW43</f>
        <v/>
      </c>
      <c r="BX90" s="399">
        <f>-BX43</f>
        <v/>
      </c>
      <c r="BY90" s="399">
        <f>-BY43</f>
        <v/>
      </c>
      <c r="BZ90" s="399">
        <f>-BZ43</f>
        <v/>
      </c>
      <c r="CA90" s="399">
        <f>-CA43</f>
        <v/>
      </c>
      <c r="CB90" s="399">
        <f>-CB43</f>
        <v/>
      </c>
      <c r="CC90" s="399">
        <f>-CC43</f>
        <v/>
      </c>
      <c r="CD90" s="399">
        <f>-CD43</f>
        <v/>
      </c>
      <c r="CE90" s="399">
        <f>-CE43</f>
        <v/>
      </c>
      <c r="CF90" s="399">
        <f>-CF43</f>
        <v/>
      </c>
      <c r="CG90" s="399">
        <f>-CG43</f>
        <v/>
      </c>
      <c r="CH90" s="399">
        <f>-CH43</f>
        <v/>
      </c>
      <c r="CI90" s="399">
        <f>-CI43</f>
        <v/>
      </c>
      <c r="CJ90" s="399">
        <f>-CJ43</f>
        <v/>
      </c>
      <c r="CK90" s="399">
        <f>-CK43</f>
        <v/>
      </c>
      <c r="CL90" s="399">
        <f>-CL43</f>
        <v/>
      </c>
      <c r="CM90" s="399">
        <f>-CM43</f>
        <v/>
      </c>
      <c r="CN90" s="399">
        <f>-CN43</f>
        <v/>
      </c>
      <c r="CO90" s="399">
        <f>-CO43</f>
        <v/>
      </c>
      <c r="CP90" s="399">
        <f>-CP43</f>
        <v/>
      </c>
      <c r="CQ90" s="399">
        <f>-CQ43</f>
        <v/>
      </c>
      <c r="CR90" s="399">
        <f>-CR43</f>
        <v/>
      </c>
      <c r="CS90" s="399">
        <f>-CS43</f>
        <v/>
      </c>
      <c r="CT90" s="399">
        <f>-CT43</f>
        <v/>
      </c>
      <c r="CU90" s="399">
        <f>-CU43</f>
        <v/>
      </c>
      <c r="CV90" s="399">
        <f>-CV43</f>
        <v/>
      </c>
      <c r="CW90" s="399">
        <f>-CW43</f>
        <v/>
      </c>
      <c r="CX90" s="399">
        <f>-CX43</f>
        <v/>
      </c>
      <c r="CY90" s="399">
        <f>-CY43</f>
        <v/>
      </c>
      <c r="CZ90" s="399">
        <f>-CZ43</f>
        <v/>
      </c>
      <c r="DA90" s="399">
        <f>-DA43</f>
        <v/>
      </c>
      <c r="DB90" s="399">
        <f>-DB43</f>
        <v/>
      </c>
      <c r="DC90" s="399">
        <f>-DC43</f>
        <v/>
      </c>
      <c r="DD90" s="399">
        <f>-DD43</f>
        <v/>
      </c>
      <c r="DE90" s="399">
        <f>-DE43</f>
        <v/>
      </c>
    </row>
    <row r="91" hidden="1" outlineLevel="1" ht="15" customFormat="1" customHeight="1" s="380">
      <c r="A91" s="407" t="inlineStr">
        <is>
          <t>BD-19</t>
        </is>
      </c>
      <c r="B91" s="399" t="n">
        <v>0</v>
      </c>
      <c r="C91" s="399" t="n">
        <v>0</v>
      </c>
      <c r="D91" s="399" t="n">
        <v>0</v>
      </c>
      <c r="E91" s="399" t="n">
        <v>0</v>
      </c>
      <c r="F91" s="399">
        <f>-F44</f>
        <v/>
      </c>
      <c r="G91" s="399">
        <f>-G44</f>
        <v/>
      </c>
      <c r="H91" s="399">
        <f>-H44</f>
        <v/>
      </c>
      <c r="I91" s="399">
        <f>-I44</f>
        <v/>
      </c>
      <c r="J91" s="399">
        <f>-J44</f>
        <v/>
      </c>
      <c r="K91" s="399">
        <f>-K44</f>
        <v/>
      </c>
      <c r="L91" s="399">
        <f>-L44</f>
        <v/>
      </c>
      <c r="M91" s="399">
        <f>-M44</f>
        <v/>
      </c>
      <c r="N91" s="399">
        <f>-N44</f>
        <v/>
      </c>
      <c r="O91" s="399">
        <f>-O44</f>
        <v/>
      </c>
      <c r="P91" s="399">
        <f>-P44</f>
        <v/>
      </c>
      <c r="Q91" s="399">
        <f>-Q44</f>
        <v/>
      </c>
      <c r="R91" s="399">
        <f>-R44</f>
        <v/>
      </c>
      <c r="S91" s="399">
        <f>-S44</f>
        <v/>
      </c>
      <c r="T91" s="399">
        <f>-T44</f>
        <v/>
      </c>
      <c r="U91" s="399">
        <f>-U44</f>
        <v/>
      </c>
      <c r="V91" s="399">
        <f>-V44</f>
        <v/>
      </c>
      <c r="W91" s="399">
        <f>-W44</f>
        <v/>
      </c>
      <c r="X91" s="399">
        <f>-X44</f>
        <v/>
      </c>
      <c r="Y91" s="399">
        <f>-Y44</f>
        <v/>
      </c>
      <c r="Z91" s="399">
        <f>-Z44</f>
        <v/>
      </c>
      <c r="AA91" s="399">
        <f>-AA44</f>
        <v/>
      </c>
      <c r="AB91" s="399">
        <f>-AB44</f>
        <v/>
      </c>
      <c r="AC91" s="399">
        <f>-AC44</f>
        <v/>
      </c>
      <c r="AD91" s="399">
        <f>-AD44</f>
        <v/>
      </c>
      <c r="AE91" s="399">
        <f>-AE44</f>
        <v/>
      </c>
      <c r="AF91" s="399">
        <f>-AF44</f>
        <v/>
      </c>
      <c r="AG91" s="399">
        <f>-AG44</f>
        <v/>
      </c>
      <c r="AH91" s="399">
        <f>-AH44</f>
        <v/>
      </c>
      <c r="AI91" s="399">
        <f>-AI44</f>
        <v/>
      </c>
      <c r="AJ91" s="399">
        <f>-AJ44</f>
        <v/>
      </c>
      <c r="AK91" s="399">
        <f>-AK44</f>
        <v/>
      </c>
      <c r="AL91" s="399">
        <f>-AL44</f>
        <v/>
      </c>
      <c r="AM91" s="399">
        <f>-AM44</f>
        <v/>
      </c>
      <c r="AN91" s="399">
        <f>-AN44</f>
        <v/>
      </c>
      <c r="AO91" s="399">
        <f>-AO44</f>
        <v/>
      </c>
      <c r="AP91" s="399">
        <f>-AP44</f>
        <v/>
      </c>
      <c r="AQ91" s="399">
        <f>-AQ44</f>
        <v/>
      </c>
      <c r="AR91" s="399">
        <f>-AR44</f>
        <v/>
      </c>
      <c r="AS91" s="399">
        <f>-AS44</f>
        <v/>
      </c>
      <c r="AT91" s="399">
        <f>-AT44</f>
        <v/>
      </c>
      <c r="AU91" s="399">
        <f>-AU44</f>
        <v/>
      </c>
      <c r="AV91" s="399">
        <f>-AV44</f>
        <v/>
      </c>
      <c r="AW91" s="399">
        <f>-AW44</f>
        <v/>
      </c>
      <c r="AX91" s="399">
        <f>-AX44</f>
        <v/>
      </c>
      <c r="AY91" s="399">
        <f>-AY44</f>
        <v/>
      </c>
      <c r="AZ91" s="399">
        <f>-AZ44</f>
        <v/>
      </c>
      <c r="BA91" s="399">
        <f>-BA44</f>
        <v/>
      </c>
      <c r="BB91" s="399">
        <f>-BB44</f>
        <v/>
      </c>
      <c r="BC91" s="399">
        <f>-BC44</f>
        <v/>
      </c>
      <c r="BD91" s="399">
        <f>-BD44</f>
        <v/>
      </c>
      <c r="BE91" s="399">
        <f>-BE44</f>
        <v/>
      </c>
      <c r="BF91" s="399">
        <f>-BF44</f>
        <v/>
      </c>
      <c r="BG91" s="399">
        <f>-BG44</f>
        <v/>
      </c>
      <c r="BH91" s="399">
        <f>-BH44</f>
        <v/>
      </c>
      <c r="BI91" s="399">
        <f>-BI44</f>
        <v/>
      </c>
      <c r="BJ91" s="399">
        <f>-BJ44</f>
        <v/>
      </c>
      <c r="BK91" s="399">
        <f>-BK44</f>
        <v/>
      </c>
      <c r="BL91" s="399">
        <f>-BL44</f>
        <v/>
      </c>
      <c r="BM91" s="399">
        <f>-BM44</f>
        <v/>
      </c>
      <c r="BN91" s="399">
        <f>-BN44</f>
        <v/>
      </c>
      <c r="BO91" s="399">
        <f>-BO44</f>
        <v/>
      </c>
      <c r="BP91" s="399">
        <f>-BP44</f>
        <v/>
      </c>
      <c r="BQ91" s="399">
        <f>-BQ44</f>
        <v/>
      </c>
      <c r="BR91" s="399">
        <f>-BR44</f>
        <v/>
      </c>
      <c r="BS91" s="399">
        <f>-BS44</f>
        <v/>
      </c>
      <c r="BT91" s="399">
        <f>-BT44</f>
        <v/>
      </c>
      <c r="BU91" s="399">
        <f>-BU44</f>
        <v/>
      </c>
      <c r="BV91" s="399">
        <f>-BV44</f>
        <v/>
      </c>
      <c r="BW91" s="399">
        <f>-BW44</f>
        <v/>
      </c>
      <c r="BX91" s="399">
        <f>-BX44</f>
        <v/>
      </c>
      <c r="BY91" s="399">
        <f>-BY44</f>
        <v/>
      </c>
      <c r="BZ91" s="399">
        <f>-BZ44</f>
        <v/>
      </c>
      <c r="CA91" s="399">
        <f>-CA44</f>
        <v/>
      </c>
      <c r="CB91" s="399">
        <f>-CB44</f>
        <v/>
      </c>
      <c r="CC91" s="399">
        <f>-CC44</f>
        <v/>
      </c>
      <c r="CD91" s="399">
        <f>-CD44</f>
        <v/>
      </c>
      <c r="CE91" s="399">
        <f>-CE44</f>
        <v/>
      </c>
      <c r="CF91" s="399">
        <f>-CF44</f>
        <v/>
      </c>
      <c r="CG91" s="399">
        <f>-CG44</f>
        <v/>
      </c>
      <c r="CH91" s="399">
        <f>-CH44</f>
        <v/>
      </c>
      <c r="CI91" s="399">
        <f>-CI44</f>
        <v/>
      </c>
      <c r="CJ91" s="399">
        <f>-CJ44</f>
        <v/>
      </c>
      <c r="CK91" s="399">
        <f>-CK44</f>
        <v/>
      </c>
      <c r="CL91" s="399">
        <f>-CL44</f>
        <v/>
      </c>
      <c r="CM91" s="399">
        <f>-CM44</f>
        <v/>
      </c>
      <c r="CN91" s="399">
        <f>-CN44</f>
        <v/>
      </c>
      <c r="CO91" s="399">
        <f>-CO44</f>
        <v/>
      </c>
      <c r="CP91" s="399">
        <f>-CP44</f>
        <v/>
      </c>
      <c r="CQ91" s="399">
        <f>-CQ44</f>
        <v/>
      </c>
      <c r="CR91" s="399">
        <f>-CR44</f>
        <v/>
      </c>
      <c r="CS91" s="399">
        <f>-CS44</f>
        <v/>
      </c>
      <c r="CT91" s="399">
        <f>-CT44</f>
        <v/>
      </c>
      <c r="CU91" s="399">
        <f>-CU44</f>
        <v/>
      </c>
      <c r="CV91" s="399">
        <f>-CV44</f>
        <v/>
      </c>
      <c r="CW91" s="399">
        <f>-CW44</f>
        <v/>
      </c>
      <c r="CX91" s="399">
        <f>-CX44</f>
        <v/>
      </c>
      <c r="CY91" s="399">
        <f>-CY44</f>
        <v/>
      </c>
      <c r="CZ91" s="399">
        <f>-CZ44</f>
        <v/>
      </c>
      <c r="DA91" s="399">
        <f>-DA44</f>
        <v/>
      </c>
      <c r="DB91" s="399">
        <f>-DB44</f>
        <v/>
      </c>
      <c r="DC91" s="399">
        <f>-DC44</f>
        <v/>
      </c>
      <c r="DD91" s="399">
        <f>-DD44</f>
        <v/>
      </c>
      <c r="DE91" s="399">
        <f>-DE44</f>
        <v/>
      </c>
    </row>
    <row r="92" hidden="1" outlineLevel="1" ht="15" customFormat="1" customHeight="1" s="380">
      <c r="A92" s="407" t="inlineStr">
        <is>
          <t>BD-20</t>
        </is>
      </c>
      <c r="B92" s="399" t="n">
        <v>0</v>
      </c>
      <c r="C92" s="399" t="n">
        <v>0</v>
      </c>
      <c r="D92" s="399" t="n">
        <v>0</v>
      </c>
      <c r="E92" s="399" t="n">
        <v>0</v>
      </c>
      <c r="F92" s="399">
        <f>-F45</f>
        <v/>
      </c>
      <c r="G92" s="399">
        <f>-G45</f>
        <v/>
      </c>
      <c r="H92" s="399">
        <f>-H45</f>
        <v/>
      </c>
      <c r="I92" s="399">
        <f>-I45</f>
        <v/>
      </c>
      <c r="J92" s="399">
        <f>-J45</f>
        <v/>
      </c>
      <c r="K92" s="399">
        <f>-K45</f>
        <v/>
      </c>
      <c r="L92" s="399">
        <f>-L45</f>
        <v/>
      </c>
      <c r="M92" s="399">
        <f>-M45</f>
        <v/>
      </c>
      <c r="N92" s="399">
        <f>-N45</f>
        <v/>
      </c>
      <c r="O92" s="399">
        <f>-O45</f>
        <v/>
      </c>
      <c r="P92" s="399">
        <f>-P45</f>
        <v/>
      </c>
      <c r="Q92" s="399">
        <f>-Q45</f>
        <v/>
      </c>
      <c r="R92" s="399">
        <f>-R45</f>
        <v/>
      </c>
      <c r="S92" s="399">
        <f>-S45</f>
        <v/>
      </c>
      <c r="T92" s="399">
        <f>-T45</f>
        <v/>
      </c>
      <c r="U92" s="399">
        <f>-U45</f>
        <v/>
      </c>
      <c r="V92" s="399">
        <f>-V45</f>
        <v/>
      </c>
      <c r="W92" s="399">
        <f>-W45</f>
        <v/>
      </c>
      <c r="X92" s="399">
        <f>-X45</f>
        <v/>
      </c>
      <c r="Y92" s="399">
        <f>-Y45</f>
        <v/>
      </c>
      <c r="Z92" s="399">
        <f>-Z45</f>
        <v/>
      </c>
      <c r="AA92" s="399">
        <f>-AA45</f>
        <v/>
      </c>
      <c r="AB92" s="399">
        <f>-AB45</f>
        <v/>
      </c>
      <c r="AC92" s="399">
        <f>-AC45</f>
        <v/>
      </c>
      <c r="AD92" s="399">
        <f>-AD45</f>
        <v/>
      </c>
      <c r="AE92" s="399">
        <f>-AE45</f>
        <v/>
      </c>
      <c r="AF92" s="399">
        <f>-AF45</f>
        <v/>
      </c>
      <c r="AG92" s="399">
        <f>-AG45</f>
        <v/>
      </c>
      <c r="AH92" s="399">
        <f>-AH45</f>
        <v/>
      </c>
      <c r="AI92" s="399">
        <f>-AI45</f>
        <v/>
      </c>
      <c r="AJ92" s="399">
        <f>-AJ45</f>
        <v/>
      </c>
      <c r="AK92" s="399">
        <f>-AK45</f>
        <v/>
      </c>
      <c r="AL92" s="399">
        <f>-AL45</f>
        <v/>
      </c>
      <c r="AM92" s="399">
        <f>-AM45</f>
        <v/>
      </c>
      <c r="AN92" s="399">
        <f>-AN45</f>
        <v/>
      </c>
      <c r="AO92" s="399">
        <f>-AO45</f>
        <v/>
      </c>
      <c r="AP92" s="399">
        <f>-AP45</f>
        <v/>
      </c>
      <c r="AQ92" s="399">
        <f>-AQ45</f>
        <v/>
      </c>
      <c r="AR92" s="399">
        <f>-AR45</f>
        <v/>
      </c>
      <c r="AS92" s="399">
        <f>-AS45</f>
        <v/>
      </c>
      <c r="AT92" s="399">
        <f>-AT45</f>
        <v/>
      </c>
      <c r="AU92" s="399">
        <f>-AU45</f>
        <v/>
      </c>
      <c r="AV92" s="399">
        <f>-AV45</f>
        <v/>
      </c>
      <c r="AW92" s="399">
        <f>-AW45</f>
        <v/>
      </c>
      <c r="AX92" s="399">
        <f>-AX45</f>
        <v/>
      </c>
      <c r="AY92" s="399">
        <f>-AY45</f>
        <v/>
      </c>
      <c r="AZ92" s="399">
        <f>-AZ45</f>
        <v/>
      </c>
      <c r="BA92" s="399">
        <f>-BA45</f>
        <v/>
      </c>
      <c r="BB92" s="399">
        <f>-BB45</f>
        <v/>
      </c>
      <c r="BC92" s="399">
        <f>-BC45</f>
        <v/>
      </c>
      <c r="BD92" s="399">
        <f>-BD45</f>
        <v/>
      </c>
      <c r="BE92" s="399">
        <f>-BE45</f>
        <v/>
      </c>
      <c r="BF92" s="399">
        <f>-BF45</f>
        <v/>
      </c>
      <c r="BG92" s="399">
        <f>-BG45</f>
        <v/>
      </c>
      <c r="BH92" s="399">
        <f>-BH45</f>
        <v/>
      </c>
      <c r="BI92" s="399">
        <f>-BI45</f>
        <v/>
      </c>
      <c r="BJ92" s="399">
        <f>-BJ45</f>
        <v/>
      </c>
      <c r="BK92" s="399">
        <f>-BK45</f>
        <v/>
      </c>
      <c r="BL92" s="399">
        <f>-BL45</f>
        <v/>
      </c>
      <c r="BM92" s="399">
        <f>-BM45</f>
        <v/>
      </c>
      <c r="BN92" s="399">
        <f>-BN45</f>
        <v/>
      </c>
      <c r="BO92" s="399">
        <f>-BO45</f>
        <v/>
      </c>
      <c r="BP92" s="399">
        <f>-BP45</f>
        <v/>
      </c>
      <c r="BQ92" s="399">
        <f>-BQ45</f>
        <v/>
      </c>
      <c r="BR92" s="399">
        <f>-BR45</f>
        <v/>
      </c>
      <c r="BS92" s="399">
        <f>-BS45</f>
        <v/>
      </c>
      <c r="BT92" s="399">
        <f>-BT45</f>
        <v/>
      </c>
      <c r="BU92" s="399">
        <f>-BU45</f>
        <v/>
      </c>
      <c r="BV92" s="399">
        <f>-BV45</f>
        <v/>
      </c>
      <c r="BW92" s="399">
        <f>-BW45</f>
        <v/>
      </c>
      <c r="BX92" s="399">
        <f>-BX45</f>
        <v/>
      </c>
      <c r="BY92" s="399">
        <f>-BY45</f>
        <v/>
      </c>
      <c r="BZ92" s="399">
        <f>-BZ45</f>
        <v/>
      </c>
      <c r="CA92" s="399">
        <f>-CA45</f>
        <v/>
      </c>
      <c r="CB92" s="399">
        <f>-CB45</f>
        <v/>
      </c>
      <c r="CC92" s="399">
        <f>-CC45</f>
        <v/>
      </c>
      <c r="CD92" s="399">
        <f>-CD45</f>
        <v/>
      </c>
      <c r="CE92" s="399">
        <f>-CE45</f>
        <v/>
      </c>
      <c r="CF92" s="399">
        <f>-CF45</f>
        <v/>
      </c>
      <c r="CG92" s="399">
        <f>-CG45</f>
        <v/>
      </c>
      <c r="CH92" s="399">
        <f>-CH45</f>
        <v/>
      </c>
      <c r="CI92" s="399">
        <f>-CI45</f>
        <v/>
      </c>
      <c r="CJ92" s="399">
        <f>-CJ45</f>
        <v/>
      </c>
      <c r="CK92" s="399">
        <f>-CK45</f>
        <v/>
      </c>
      <c r="CL92" s="399">
        <f>-CL45</f>
        <v/>
      </c>
      <c r="CM92" s="399">
        <f>-CM45</f>
        <v/>
      </c>
      <c r="CN92" s="399">
        <f>-CN45</f>
        <v/>
      </c>
      <c r="CO92" s="399">
        <f>-CO45</f>
        <v/>
      </c>
      <c r="CP92" s="399">
        <f>-CP45</f>
        <v/>
      </c>
      <c r="CQ92" s="399">
        <f>-CQ45</f>
        <v/>
      </c>
      <c r="CR92" s="399">
        <f>-CR45</f>
        <v/>
      </c>
      <c r="CS92" s="399">
        <f>-CS45</f>
        <v/>
      </c>
      <c r="CT92" s="399">
        <f>-CT45</f>
        <v/>
      </c>
      <c r="CU92" s="399">
        <f>-CU45</f>
        <v/>
      </c>
      <c r="CV92" s="399">
        <f>-CV45</f>
        <v/>
      </c>
      <c r="CW92" s="399">
        <f>-CW45</f>
        <v/>
      </c>
      <c r="CX92" s="399">
        <f>-CX45</f>
        <v/>
      </c>
      <c r="CY92" s="399">
        <f>-CY45</f>
        <v/>
      </c>
      <c r="CZ92" s="399">
        <f>-CZ45</f>
        <v/>
      </c>
      <c r="DA92" s="399">
        <f>-DA45</f>
        <v/>
      </c>
      <c r="DB92" s="399">
        <f>-DB45</f>
        <v/>
      </c>
      <c r="DC92" s="399">
        <f>-DC45</f>
        <v/>
      </c>
      <c r="DD92" s="399">
        <f>-DD45</f>
        <v/>
      </c>
      <c r="DE92" s="399">
        <f>-DE45</f>
        <v/>
      </c>
    </row>
    <row r="93" hidden="1" outlineLevel="1" ht="15" customFormat="1" customHeight="1" s="380">
      <c r="A93" s="407" t="inlineStr">
        <is>
          <t>BD-21</t>
        </is>
      </c>
      <c r="B93" s="399" t="n">
        <v>0</v>
      </c>
      <c r="C93" s="399" t="n">
        <v>0</v>
      </c>
      <c r="D93" s="399" t="n">
        <v>0</v>
      </c>
      <c r="E93" s="399" t="n">
        <v>0</v>
      </c>
      <c r="F93" s="399">
        <f>-F46</f>
        <v/>
      </c>
      <c r="G93" s="399">
        <f>-G46</f>
        <v/>
      </c>
      <c r="H93" s="399">
        <f>-H46</f>
        <v/>
      </c>
      <c r="I93" s="399">
        <f>-I46</f>
        <v/>
      </c>
      <c r="J93" s="399">
        <f>-J46</f>
        <v/>
      </c>
      <c r="K93" s="399">
        <f>-K46</f>
        <v/>
      </c>
      <c r="L93" s="399">
        <f>-L46</f>
        <v/>
      </c>
      <c r="M93" s="399">
        <f>-M46</f>
        <v/>
      </c>
      <c r="N93" s="399">
        <f>-N46</f>
        <v/>
      </c>
      <c r="O93" s="399">
        <f>-O46</f>
        <v/>
      </c>
      <c r="P93" s="399">
        <f>-P46</f>
        <v/>
      </c>
      <c r="Q93" s="399">
        <f>-Q46</f>
        <v/>
      </c>
      <c r="R93" s="399">
        <f>-R46</f>
        <v/>
      </c>
      <c r="S93" s="399">
        <f>-S46</f>
        <v/>
      </c>
      <c r="T93" s="399">
        <f>-T46</f>
        <v/>
      </c>
      <c r="U93" s="399">
        <f>-U46</f>
        <v/>
      </c>
      <c r="V93" s="399">
        <f>-V46</f>
        <v/>
      </c>
      <c r="W93" s="399">
        <f>-W46</f>
        <v/>
      </c>
      <c r="X93" s="399">
        <f>-X46</f>
        <v/>
      </c>
      <c r="Y93" s="399">
        <f>-Y46</f>
        <v/>
      </c>
      <c r="Z93" s="399">
        <f>-Z46</f>
        <v/>
      </c>
      <c r="AA93" s="399">
        <f>-AA46</f>
        <v/>
      </c>
      <c r="AB93" s="399">
        <f>-AB46</f>
        <v/>
      </c>
      <c r="AC93" s="399">
        <f>-AC46</f>
        <v/>
      </c>
      <c r="AD93" s="399">
        <f>-AD46</f>
        <v/>
      </c>
      <c r="AE93" s="399">
        <f>-AE46</f>
        <v/>
      </c>
      <c r="AF93" s="399">
        <f>-AF46</f>
        <v/>
      </c>
      <c r="AG93" s="399">
        <f>-AG46</f>
        <v/>
      </c>
      <c r="AH93" s="399">
        <f>-AH46</f>
        <v/>
      </c>
      <c r="AI93" s="399">
        <f>-AI46</f>
        <v/>
      </c>
      <c r="AJ93" s="399">
        <f>-AJ46</f>
        <v/>
      </c>
      <c r="AK93" s="399">
        <f>-AK46</f>
        <v/>
      </c>
      <c r="AL93" s="399">
        <f>-AL46</f>
        <v/>
      </c>
      <c r="AM93" s="399">
        <f>-AM46</f>
        <v/>
      </c>
      <c r="AN93" s="399">
        <f>-AN46</f>
        <v/>
      </c>
      <c r="AO93" s="399">
        <f>-AO46</f>
        <v/>
      </c>
      <c r="AP93" s="399">
        <f>-AP46</f>
        <v/>
      </c>
      <c r="AQ93" s="399">
        <f>-AQ46</f>
        <v/>
      </c>
      <c r="AR93" s="399">
        <f>-AR46</f>
        <v/>
      </c>
      <c r="AS93" s="399">
        <f>-AS46</f>
        <v/>
      </c>
      <c r="AT93" s="399">
        <f>-AT46</f>
        <v/>
      </c>
      <c r="AU93" s="399">
        <f>-AU46</f>
        <v/>
      </c>
      <c r="AV93" s="399">
        <f>-AV46</f>
        <v/>
      </c>
      <c r="AW93" s="399">
        <f>-AW46</f>
        <v/>
      </c>
      <c r="AX93" s="399">
        <f>-AX46</f>
        <v/>
      </c>
      <c r="AY93" s="399">
        <f>-AY46</f>
        <v/>
      </c>
      <c r="AZ93" s="399">
        <f>-AZ46</f>
        <v/>
      </c>
      <c r="BA93" s="399">
        <f>-BA46</f>
        <v/>
      </c>
      <c r="BB93" s="399">
        <f>-BB46</f>
        <v/>
      </c>
      <c r="BC93" s="399">
        <f>-BC46</f>
        <v/>
      </c>
      <c r="BD93" s="399">
        <f>-BD46</f>
        <v/>
      </c>
      <c r="BE93" s="399">
        <f>-BE46</f>
        <v/>
      </c>
      <c r="BF93" s="399">
        <f>-BF46</f>
        <v/>
      </c>
      <c r="BG93" s="399">
        <f>-BG46</f>
        <v/>
      </c>
      <c r="BH93" s="399">
        <f>-BH46</f>
        <v/>
      </c>
      <c r="BI93" s="399">
        <f>-BI46</f>
        <v/>
      </c>
      <c r="BJ93" s="399">
        <f>-BJ46</f>
        <v/>
      </c>
      <c r="BK93" s="399">
        <f>-BK46</f>
        <v/>
      </c>
      <c r="BL93" s="399">
        <f>-BL46</f>
        <v/>
      </c>
      <c r="BM93" s="399">
        <f>-BM46</f>
        <v/>
      </c>
      <c r="BN93" s="399">
        <f>-BN46</f>
        <v/>
      </c>
      <c r="BO93" s="399">
        <f>-BO46</f>
        <v/>
      </c>
      <c r="BP93" s="399">
        <f>-BP46</f>
        <v/>
      </c>
      <c r="BQ93" s="399">
        <f>-BQ46</f>
        <v/>
      </c>
      <c r="BR93" s="399">
        <f>-BR46</f>
        <v/>
      </c>
      <c r="BS93" s="399">
        <f>-BS46</f>
        <v/>
      </c>
      <c r="BT93" s="399">
        <f>-BT46</f>
        <v/>
      </c>
      <c r="BU93" s="399">
        <f>-BU46</f>
        <v/>
      </c>
      <c r="BV93" s="399">
        <f>-BV46</f>
        <v/>
      </c>
      <c r="BW93" s="399">
        <f>-BW46</f>
        <v/>
      </c>
      <c r="BX93" s="399">
        <f>-BX46</f>
        <v/>
      </c>
      <c r="BY93" s="399">
        <f>-BY46</f>
        <v/>
      </c>
      <c r="BZ93" s="399">
        <f>-BZ46</f>
        <v/>
      </c>
      <c r="CA93" s="399">
        <f>-CA46</f>
        <v/>
      </c>
      <c r="CB93" s="399">
        <f>-CB46</f>
        <v/>
      </c>
      <c r="CC93" s="399">
        <f>-CC46</f>
        <v/>
      </c>
      <c r="CD93" s="399">
        <f>-CD46</f>
        <v/>
      </c>
      <c r="CE93" s="399">
        <f>-CE46</f>
        <v/>
      </c>
      <c r="CF93" s="399">
        <f>-CF46</f>
        <v/>
      </c>
      <c r="CG93" s="399">
        <f>-CG46</f>
        <v/>
      </c>
      <c r="CH93" s="399">
        <f>-CH46</f>
        <v/>
      </c>
      <c r="CI93" s="399">
        <f>-CI46</f>
        <v/>
      </c>
      <c r="CJ93" s="399">
        <f>-CJ46</f>
        <v/>
      </c>
      <c r="CK93" s="399">
        <f>-CK46</f>
        <v/>
      </c>
      <c r="CL93" s="399">
        <f>-CL46</f>
        <v/>
      </c>
      <c r="CM93" s="399">
        <f>-CM46</f>
        <v/>
      </c>
      <c r="CN93" s="399">
        <f>-CN46</f>
        <v/>
      </c>
      <c r="CO93" s="399">
        <f>-CO46</f>
        <v/>
      </c>
      <c r="CP93" s="399">
        <f>-CP46</f>
        <v/>
      </c>
      <c r="CQ93" s="399">
        <f>-CQ46</f>
        <v/>
      </c>
      <c r="CR93" s="399">
        <f>-CR46</f>
        <v/>
      </c>
      <c r="CS93" s="399">
        <f>-CS46</f>
        <v/>
      </c>
      <c r="CT93" s="399">
        <f>-CT46</f>
        <v/>
      </c>
      <c r="CU93" s="399">
        <f>-CU46</f>
        <v/>
      </c>
      <c r="CV93" s="399">
        <f>-CV46</f>
        <v/>
      </c>
      <c r="CW93" s="399">
        <f>-CW46</f>
        <v/>
      </c>
      <c r="CX93" s="399">
        <f>-CX46</f>
        <v/>
      </c>
      <c r="CY93" s="399">
        <f>-CY46</f>
        <v/>
      </c>
      <c r="CZ93" s="399">
        <f>-CZ46</f>
        <v/>
      </c>
      <c r="DA93" s="399">
        <f>-DA46</f>
        <v/>
      </c>
      <c r="DB93" s="399">
        <f>-DB46</f>
        <v/>
      </c>
      <c r="DC93" s="399">
        <f>-DC46</f>
        <v/>
      </c>
      <c r="DD93" s="399">
        <f>-DD46</f>
        <v/>
      </c>
      <c r="DE93" s="399">
        <f>-DE46</f>
        <v/>
      </c>
    </row>
    <row r="94" hidden="1" outlineLevel="1" ht="15" customFormat="1" customHeight="1" s="380">
      <c r="A94" s="407" t="inlineStr">
        <is>
          <t>BD-22</t>
        </is>
      </c>
      <c r="B94" s="399" t="n">
        <v>0</v>
      </c>
      <c r="C94" s="399" t="n">
        <v>0</v>
      </c>
      <c r="D94" s="399" t="n">
        <v>0</v>
      </c>
      <c r="E94" s="399" t="n">
        <v>0</v>
      </c>
      <c r="F94" s="399">
        <f>-F47</f>
        <v/>
      </c>
      <c r="G94" s="399">
        <f>-G47</f>
        <v/>
      </c>
      <c r="H94" s="399">
        <f>-H47</f>
        <v/>
      </c>
      <c r="I94" s="399">
        <f>-I47</f>
        <v/>
      </c>
      <c r="J94" s="399">
        <f>-J47</f>
        <v/>
      </c>
      <c r="K94" s="399">
        <f>-K47</f>
        <v/>
      </c>
      <c r="L94" s="399">
        <f>-L47</f>
        <v/>
      </c>
      <c r="M94" s="399">
        <f>-M47</f>
        <v/>
      </c>
      <c r="N94" s="399">
        <f>-N47</f>
        <v/>
      </c>
      <c r="O94" s="399">
        <f>-O47</f>
        <v/>
      </c>
      <c r="P94" s="399">
        <f>-P47</f>
        <v/>
      </c>
      <c r="Q94" s="399">
        <f>-Q47</f>
        <v/>
      </c>
      <c r="R94" s="399">
        <f>-R47</f>
        <v/>
      </c>
      <c r="S94" s="399">
        <f>-S47</f>
        <v/>
      </c>
      <c r="T94" s="399">
        <f>-T47</f>
        <v/>
      </c>
      <c r="U94" s="399">
        <f>-U47</f>
        <v/>
      </c>
      <c r="V94" s="399">
        <f>-V47</f>
        <v/>
      </c>
      <c r="W94" s="399">
        <f>-W47</f>
        <v/>
      </c>
      <c r="X94" s="399">
        <f>-X47</f>
        <v/>
      </c>
      <c r="Y94" s="399">
        <f>-Y47</f>
        <v/>
      </c>
      <c r="Z94" s="399">
        <f>-Z47</f>
        <v/>
      </c>
      <c r="AA94" s="399">
        <f>-AA47</f>
        <v/>
      </c>
      <c r="AB94" s="399">
        <f>-AB47</f>
        <v/>
      </c>
      <c r="AC94" s="399">
        <f>-AC47</f>
        <v/>
      </c>
      <c r="AD94" s="399">
        <f>-AD47</f>
        <v/>
      </c>
      <c r="AE94" s="399">
        <f>-AE47</f>
        <v/>
      </c>
      <c r="AF94" s="399">
        <f>-AF47</f>
        <v/>
      </c>
      <c r="AG94" s="399">
        <f>-AG47</f>
        <v/>
      </c>
      <c r="AH94" s="399">
        <f>-AH47</f>
        <v/>
      </c>
      <c r="AI94" s="399">
        <f>-AI47</f>
        <v/>
      </c>
      <c r="AJ94" s="399">
        <f>-AJ47</f>
        <v/>
      </c>
      <c r="AK94" s="399">
        <f>-AK47</f>
        <v/>
      </c>
      <c r="AL94" s="399">
        <f>-AL47</f>
        <v/>
      </c>
      <c r="AM94" s="399">
        <f>-AM47</f>
        <v/>
      </c>
      <c r="AN94" s="399">
        <f>-AN47</f>
        <v/>
      </c>
      <c r="AO94" s="399">
        <f>-AO47</f>
        <v/>
      </c>
      <c r="AP94" s="399">
        <f>-AP47</f>
        <v/>
      </c>
      <c r="AQ94" s="399">
        <f>-AQ47</f>
        <v/>
      </c>
      <c r="AR94" s="399">
        <f>-AR47</f>
        <v/>
      </c>
      <c r="AS94" s="399">
        <f>-AS47</f>
        <v/>
      </c>
      <c r="AT94" s="399">
        <f>-AT47</f>
        <v/>
      </c>
      <c r="AU94" s="399">
        <f>-AU47</f>
        <v/>
      </c>
      <c r="AV94" s="399">
        <f>-AV47</f>
        <v/>
      </c>
      <c r="AW94" s="399">
        <f>-AW47</f>
        <v/>
      </c>
      <c r="AX94" s="399">
        <f>-AX47</f>
        <v/>
      </c>
      <c r="AY94" s="399">
        <f>-AY47</f>
        <v/>
      </c>
      <c r="AZ94" s="399">
        <f>-AZ47</f>
        <v/>
      </c>
      <c r="BA94" s="399">
        <f>-BA47</f>
        <v/>
      </c>
      <c r="BB94" s="399">
        <f>-BB47</f>
        <v/>
      </c>
      <c r="BC94" s="399">
        <f>-BC47</f>
        <v/>
      </c>
      <c r="BD94" s="399">
        <f>-BD47</f>
        <v/>
      </c>
      <c r="BE94" s="399">
        <f>-BE47</f>
        <v/>
      </c>
      <c r="BF94" s="399">
        <f>-BF47</f>
        <v/>
      </c>
      <c r="BG94" s="399">
        <f>-BG47</f>
        <v/>
      </c>
      <c r="BH94" s="399">
        <f>-BH47</f>
        <v/>
      </c>
      <c r="BI94" s="399">
        <f>-BI47</f>
        <v/>
      </c>
      <c r="BJ94" s="399">
        <f>-BJ47</f>
        <v/>
      </c>
      <c r="BK94" s="399">
        <f>-BK47</f>
        <v/>
      </c>
      <c r="BL94" s="399">
        <f>-BL47</f>
        <v/>
      </c>
      <c r="BM94" s="399">
        <f>-BM47</f>
        <v/>
      </c>
      <c r="BN94" s="399">
        <f>-BN47</f>
        <v/>
      </c>
      <c r="BO94" s="399">
        <f>-BO47</f>
        <v/>
      </c>
      <c r="BP94" s="399">
        <f>-BP47</f>
        <v/>
      </c>
      <c r="BQ94" s="399">
        <f>-BQ47</f>
        <v/>
      </c>
      <c r="BR94" s="399">
        <f>-BR47</f>
        <v/>
      </c>
      <c r="BS94" s="399">
        <f>-BS47</f>
        <v/>
      </c>
      <c r="BT94" s="399">
        <f>-BT47</f>
        <v/>
      </c>
      <c r="BU94" s="399">
        <f>-BU47</f>
        <v/>
      </c>
      <c r="BV94" s="399">
        <f>-BV47</f>
        <v/>
      </c>
      <c r="BW94" s="399">
        <f>-BW47</f>
        <v/>
      </c>
      <c r="BX94" s="399">
        <f>-BX47</f>
        <v/>
      </c>
      <c r="BY94" s="399">
        <f>-BY47</f>
        <v/>
      </c>
      <c r="BZ94" s="399">
        <f>-BZ47</f>
        <v/>
      </c>
      <c r="CA94" s="399">
        <f>-CA47</f>
        <v/>
      </c>
      <c r="CB94" s="399">
        <f>-CB47</f>
        <v/>
      </c>
      <c r="CC94" s="399">
        <f>-CC47</f>
        <v/>
      </c>
      <c r="CD94" s="399">
        <f>-CD47</f>
        <v/>
      </c>
      <c r="CE94" s="399">
        <f>-CE47</f>
        <v/>
      </c>
      <c r="CF94" s="399">
        <f>-CF47</f>
        <v/>
      </c>
      <c r="CG94" s="399">
        <f>-CG47</f>
        <v/>
      </c>
      <c r="CH94" s="399">
        <f>-CH47</f>
        <v/>
      </c>
      <c r="CI94" s="399">
        <f>-CI47</f>
        <v/>
      </c>
      <c r="CJ94" s="399">
        <f>-CJ47</f>
        <v/>
      </c>
      <c r="CK94" s="399">
        <f>-CK47</f>
        <v/>
      </c>
      <c r="CL94" s="399">
        <f>-CL47</f>
        <v/>
      </c>
      <c r="CM94" s="399">
        <f>-CM47</f>
        <v/>
      </c>
      <c r="CN94" s="399">
        <f>-CN47</f>
        <v/>
      </c>
      <c r="CO94" s="399">
        <f>-CO47</f>
        <v/>
      </c>
      <c r="CP94" s="399">
        <f>-CP47</f>
        <v/>
      </c>
      <c r="CQ94" s="399">
        <f>-CQ47</f>
        <v/>
      </c>
      <c r="CR94" s="399">
        <f>-CR47</f>
        <v/>
      </c>
      <c r="CS94" s="399">
        <f>-CS47</f>
        <v/>
      </c>
      <c r="CT94" s="399">
        <f>-CT47</f>
        <v/>
      </c>
      <c r="CU94" s="399">
        <f>-CU47</f>
        <v/>
      </c>
      <c r="CV94" s="399">
        <f>-CV47</f>
        <v/>
      </c>
      <c r="CW94" s="399">
        <f>-CW47</f>
        <v/>
      </c>
      <c r="CX94" s="399">
        <f>-CX47</f>
        <v/>
      </c>
      <c r="CY94" s="399">
        <f>-CY47</f>
        <v/>
      </c>
      <c r="CZ94" s="399">
        <f>-CZ47</f>
        <v/>
      </c>
      <c r="DA94" s="399">
        <f>-DA47</f>
        <v/>
      </c>
      <c r="DB94" s="399">
        <f>-DB47</f>
        <v/>
      </c>
      <c r="DC94" s="399">
        <f>-DC47</f>
        <v/>
      </c>
      <c r="DD94" s="399">
        <f>-DD47</f>
        <v/>
      </c>
      <c r="DE94" s="399">
        <f>-DE47</f>
        <v/>
      </c>
    </row>
    <row r="95" hidden="1" outlineLevel="1" ht="15" customFormat="1" customHeight="1" s="380">
      <c r="A95" s="407" t="inlineStr">
        <is>
          <t>BD-23</t>
        </is>
      </c>
      <c r="B95" s="399" t="n">
        <v>0</v>
      </c>
      <c r="C95" s="399" t="n">
        <v>0</v>
      </c>
      <c r="D95" s="399" t="n">
        <v>0</v>
      </c>
      <c r="E95" s="399" t="n">
        <v>0</v>
      </c>
      <c r="F95" s="399">
        <f>-F48</f>
        <v/>
      </c>
      <c r="G95" s="399">
        <f>-G48</f>
        <v/>
      </c>
      <c r="H95" s="399">
        <f>-H48</f>
        <v/>
      </c>
      <c r="I95" s="399">
        <f>-I48</f>
        <v/>
      </c>
      <c r="J95" s="399">
        <f>-J48</f>
        <v/>
      </c>
      <c r="K95" s="399">
        <f>-K48</f>
        <v/>
      </c>
      <c r="L95" s="399">
        <f>-L48</f>
        <v/>
      </c>
      <c r="M95" s="399">
        <f>-M48</f>
        <v/>
      </c>
      <c r="N95" s="399">
        <f>-N48</f>
        <v/>
      </c>
      <c r="O95" s="399">
        <f>-O48</f>
        <v/>
      </c>
      <c r="P95" s="399">
        <f>-P48</f>
        <v/>
      </c>
      <c r="Q95" s="399">
        <f>-Q48</f>
        <v/>
      </c>
      <c r="R95" s="399">
        <f>-R48</f>
        <v/>
      </c>
      <c r="S95" s="399">
        <f>-S48</f>
        <v/>
      </c>
      <c r="T95" s="399">
        <f>-T48</f>
        <v/>
      </c>
      <c r="U95" s="399">
        <f>-U48</f>
        <v/>
      </c>
      <c r="V95" s="399">
        <f>-V48</f>
        <v/>
      </c>
      <c r="W95" s="399">
        <f>-W48</f>
        <v/>
      </c>
      <c r="X95" s="399">
        <f>-X48</f>
        <v/>
      </c>
      <c r="Y95" s="399">
        <f>-Y48</f>
        <v/>
      </c>
      <c r="Z95" s="399">
        <f>-Z48</f>
        <v/>
      </c>
      <c r="AA95" s="399">
        <f>-AA48</f>
        <v/>
      </c>
      <c r="AB95" s="399">
        <f>-AB48</f>
        <v/>
      </c>
      <c r="AC95" s="399">
        <f>-AC48</f>
        <v/>
      </c>
      <c r="AD95" s="399">
        <f>-AD48</f>
        <v/>
      </c>
      <c r="AE95" s="399">
        <f>-AE48</f>
        <v/>
      </c>
      <c r="AF95" s="399">
        <f>-AF48</f>
        <v/>
      </c>
      <c r="AG95" s="399">
        <f>-AG48</f>
        <v/>
      </c>
      <c r="AH95" s="399">
        <f>-AH48</f>
        <v/>
      </c>
      <c r="AI95" s="399">
        <f>-AI48</f>
        <v/>
      </c>
      <c r="AJ95" s="399">
        <f>-AJ48</f>
        <v/>
      </c>
      <c r="AK95" s="399">
        <f>-AK48</f>
        <v/>
      </c>
      <c r="AL95" s="399">
        <f>-AL48</f>
        <v/>
      </c>
      <c r="AM95" s="399">
        <f>-AM48</f>
        <v/>
      </c>
      <c r="AN95" s="399">
        <f>-AN48</f>
        <v/>
      </c>
      <c r="AO95" s="399">
        <f>-AO48</f>
        <v/>
      </c>
      <c r="AP95" s="399">
        <f>-AP48</f>
        <v/>
      </c>
      <c r="AQ95" s="399">
        <f>-AQ48</f>
        <v/>
      </c>
      <c r="AR95" s="399">
        <f>-AR48</f>
        <v/>
      </c>
      <c r="AS95" s="399">
        <f>-AS48</f>
        <v/>
      </c>
      <c r="AT95" s="399">
        <f>-AT48</f>
        <v/>
      </c>
      <c r="AU95" s="399">
        <f>-AU48</f>
        <v/>
      </c>
      <c r="AV95" s="399">
        <f>-AV48</f>
        <v/>
      </c>
      <c r="AW95" s="399">
        <f>-AW48</f>
        <v/>
      </c>
      <c r="AX95" s="399">
        <f>-AX48</f>
        <v/>
      </c>
      <c r="AY95" s="399">
        <f>-AY48</f>
        <v/>
      </c>
      <c r="AZ95" s="399">
        <f>-AZ48</f>
        <v/>
      </c>
      <c r="BA95" s="399">
        <f>-BA48</f>
        <v/>
      </c>
      <c r="BB95" s="399">
        <f>-BB48</f>
        <v/>
      </c>
      <c r="BC95" s="399">
        <f>-BC48</f>
        <v/>
      </c>
      <c r="BD95" s="399">
        <f>-BD48</f>
        <v/>
      </c>
      <c r="BE95" s="399">
        <f>-BE48</f>
        <v/>
      </c>
      <c r="BF95" s="399">
        <f>-BF48</f>
        <v/>
      </c>
      <c r="BG95" s="399">
        <f>-BG48</f>
        <v/>
      </c>
      <c r="BH95" s="399">
        <f>-BH48</f>
        <v/>
      </c>
      <c r="BI95" s="399">
        <f>-BI48</f>
        <v/>
      </c>
      <c r="BJ95" s="399">
        <f>-BJ48</f>
        <v/>
      </c>
      <c r="BK95" s="399">
        <f>-BK48</f>
        <v/>
      </c>
      <c r="BL95" s="399">
        <f>-BL48</f>
        <v/>
      </c>
      <c r="BM95" s="399">
        <f>-BM48</f>
        <v/>
      </c>
      <c r="BN95" s="399">
        <f>-BN48</f>
        <v/>
      </c>
      <c r="BO95" s="399">
        <f>-BO48</f>
        <v/>
      </c>
      <c r="BP95" s="399">
        <f>-BP48</f>
        <v/>
      </c>
      <c r="BQ95" s="399">
        <f>-BQ48</f>
        <v/>
      </c>
      <c r="BR95" s="399">
        <f>-BR48</f>
        <v/>
      </c>
      <c r="BS95" s="399">
        <f>-BS48</f>
        <v/>
      </c>
      <c r="BT95" s="399">
        <f>-BT48</f>
        <v/>
      </c>
      <c r="BU95" s="399">
        <f>-BU48</f>
        <v/>
      </c>
      <c r="BV95" s="399">
        <f>-BV48</f>
        <v/>
      </c>
      <c r="BW95" s="399">
        <f>-BW48</f>
        <v/>
      </c>
      <c r="BX95" s="399">
        <f>-BX48</f>
        <v/>
      </c>
      <c r="BY95" s="399">
        <f>-BY48</f>
        <v/>
      </c>
      <c r="BZ95" s="399">
        <f>-BZ48</f>
        <v/>
      </c>
      <c r="CA95" s="399">
        <f>-CA48</f>
        <v/>
      </c>
      <c r="CB95" s="399">
        <f>-CB48</f>
        <v/>
      </c>
      <c r="CC95" s="399">
        <f>-CC48</f>
        <v/>
      </c>
      <c r="CD95" s="399">
        <f>-CD48</f>
        <v/>
      </c>
      <c r="CE95" s="399">
        <f>-CE48</f>
        <v/>
      </c>
      <c r="CF95" s="399">
        <f>-CF48</f>
        <v/>
      </c>
      <c r="CG95" s="399">
        <f>-CG48</f>
        <v/>
      </c>
      <c r="CH95" s="399">
        <f>-CH48</f>
        <v/>
      </c>
      <c r="CI95" s="399">
        <f>-CI48</f>
        <v/>
      </c>
      <c r="CJ95" s="399">
        <f>-CJ48</f>
        <v/>
      </c>
      <c r="CK95" s="399">
        <f>-CK48</f>
        <v/>
      </c>
      <c r="CL95" s="399">
        <f>-CL48</f>
        <v/>
      </c>
      <c r="CM95" s="399">
        <f>-CM48</f>
        <v/>
      </c>
      <c r="CN95" s="399">
        <f>-CN48</f>
        <v/>
      </c>
      <c r="CO95" s="399">
        <f>-CO48</f>
        <v/>
      </c>
      <c r="CP95" s="399">
        <f>-CP48</f>
        <v/>
      </c>
      <c r="CQ95" s="399">
        <f>-CQ48</f>
        <v/>
      </c>
      <c r="CR95" s="399">
        <f>-CR48</f>
        <v/>
      </c>
      <c r="CS95" s="399">
        <f>-CS48</f>
        <v/>
      </c>
      <c r="CT95" s="399">
        <f>-CT48</f>
        <v/>
      </c>
      <c r="CU95" s="399">
        <f>-CU48</f>
        <v/>
      </c>
      <c r="CV95" s="399">
        <f>-CV48</f>
        <v/>
      </c>
      <c r="CW95" s="399">
        <f>-CW48</f>
        <v/>
      </c>
      <c r="CX95" s="399">
        <f>-CX48</f>
        <v/>
      </c>
      <c r="CY95" s="399">
        <f>-CY48</f>
        <v/>
      </c>
      <c r="CZ95" s="399">
        <f>-CZ48</f>
        <v/>
      </c>
      <c r="DA95" s="399">
        <f>-DA48</f>
        <v/>
      </c>
      <c r="DB95" s="399">
        <f>-DB48</f>
        <v/>
      </c>
      <c r="DC95" s="399">
        <f>-DC48</f>
        <v/>
      </c>
      <c r="DD95" s="399">
        <f>-DD48</f>
        <v/>
      </c>
      <c r="DE95" s="399">
        <f>-DE48</f>
        <v/>
      </c>
    </row>
    <row r="96" hidden="1" outlineLevel="1" ht="15" customFormat="1" customHeight="1" s="380">
      <c r="A96" s="407" t="inlineStr">
        <is>
          <t>BD-24</t>
        </is>
      </c>
      <c r="B96" s="399" t="n">
        <v>0</v>
      </c>
      <c r="C96" s="399" t="n">
        <v>0</v>
      </c>
      <c r="D96" s="399" t="n">
        <v>0</v>
      </c>
      <c r="E96" s="399" t="n">
        <v>0</v>
      </c>
      <c r="F96" s="399">
        <f>-F49</f>
        <v/>
      </c>
      <c r="G96" s="399">
        <f>-G49</f>
        <v/>
      </c>
      <c r="H96" s="399">
        <f>-H49</f>
        <v/>
      </c>
      <c r="I96" s="399">
        <f>-I49</f>
        <v/>
      </c>
      <c r="J96" s="399">
        <f>-J49</f>
        <v/>
      </c>
      <c r="K96" s="399">
        <f>-K49</f>
        <v/>
      </c>
      <c r="L96" s="399">
        <f>-L49</f>
        <v/>
      </c>
      <c r="M96" s="399">
        <f>-M49</f>
        <v/>
      </c>
      <c r="N96" s="399">
        <f>-N49</f>
        <v/>
      </c>
      <c r="O96" s="399">
        <f>-O49</f>
        <v/>
      </c>
      <c r="P96" s="399">
        <f>-P49</f>
        <v/>
      </c>
      <c r="Q96" s="399">
        <f>-Q49</f>
        <v/>
      </c>
      <c r="R96" s="399">
        <f>-R49</f>
        <v/>
      </c>
      <c r="S96" s="399">
        <f>-S49</f>
        <v/>
      </c>
      <c r="T96" s="399">
        <f>-T49</f>
        <v/>
      </c>
      <c r="U96" s="399">
        <f>-U49</f>
        <v/>
      </c>
      <c r="V96" s="399">
        <f>-V49</f>
        <v/>
      </c>
      <c r="W96" s="399">
        <f>-W49</f>
        <v/>
      </c>
      <c r="X96" s="399">
        <f>-X49</f>
        <v/>
      </c>
      <c r="Y96" s="399">
        <f>-Y49</f>
        <v/>
      </c>
      <c r="Z96" s="399">
        <f>-Z49</f>
        <v/>
      </c>
      <c r="AA96" s="399">
        <f>-AA49</f>
        <v/>
      </c>
      <c r="AB96" s="399">
        <f>-AB49</f>
        <v/>
      </c>
      <c r="AC96" s="399">
        <f>-AC49</f>
        <v/>
      </c>
      <c r="AD96" s="399">
        <f>-AD49</f>
        <v/>
      </c>
      <c r="AE96" s="399">
        <f>-AE49</f>
        <v/>
      </c>
      <c r="AF96" s="399">
        <f>-AF49</f>
        <v/>
      </c>
      <c r="AG96" s="399">
        <f>-AG49</f>
        <v/>
      </c>
      <c r="AH96" s="399">
        <f>-AH49</f>
        <v/>
      </c>
      <c r="AI96" s="399">
        <f>-AI49</f>
        <v/>
      </c>
      <c r="AJ96" s="399">
        <f>-AJ49</f>
        <v/>
      </c>
      <c r="AK96" s="399">
        <f>-AK49</f>
        <v/>
      </c>
      <c r="AL96" s="399">
        <f>-AL49</f>
        <v/>
      </c>
      <c r="AM96" s="399">
        <f>-AM49</f>
        <v/>
      </c>
      <c r="AN96" s="399">
        <f>-AN49</f>
        <v/>
      </c>
      <c r="AO96" s="399">
        <f>-AO49</f>
        <v/>
      </c>
      <c r="AP96" s="399">
        <f>-AP49</f>
        <v/>
      </c>
      <c r="AQ96" s="399">
        <f>-AQ49</f>
        <v/>
      </c>
      <c r="AR96" s="399">
        <f>-AR49</f>
        <v/>
      </c>
      <c r="AS96" s="399">
        <f>-AS49</f>
        <v/>
      </c>
      <c r="AT96" s="399">
        <f>-AT49</f>
        <v/>
      </c>
      <c r="AU96" s="399">
        <f>-AU49</f>
        <v/>
      </c>
      <c r="AV96" s="399">
        <f>-AV49</f>
        <v/>
      </c>
      <c r="AW96" s="399">
        <f>-AW49</f>
        <v/>
      </c>
      <c r="AX96" s="399">
        <f>-AX49</f>
        <v/>
      </c>
      <c r="AY96" s="399">
        <f>-AY49</f>
        <v/>
      </c>
      <c r="AZ96" s="399">
        <f>-AZ49</f>
        <v/>
      </c>
      <c r="BA96" s="399">
        <f>-BA49</f>
        <v/>
      </c>
      <c r="BB96" s="399">
        <f>-BB49</f>
        <v/>
      </c>
      <c r="BC96" s="399">
        <f>-BC49</f>
        <v/>
      </c>
      <c r="BD96" s="399">
        <f>-BD49</f>
        <v/>
      </c>
      <c r="BE96" s="399">
        <f>-BE49</f>
        <v/>
      </c>
      <c r="BF96" s="399">
        <f>-BF49</f>
        <v/>
      </c>
      <c r="BG96" s="399">
        <f>-BG49</f>
        <v/>
      </c>
      <c r="BH96" s="399">
        <f>-BH49</f>
        <v/>
      </c>
      <c r="BI96" s="399">
        <f>-BI49</f>
        <v/>
      </c>
      <c r="BJ96" s="399">
        <f>-BJ49</f>
        <v/>
      </c>
      <c r="BK96" s="399">
        <f>-BK49</f>
        <v/>
      </c>
      <c r="BL96" s="399">
        <f>-BL49</f>
        <v/>
      </c>
      <c r="BM96" s="399">
        <f>-BM49</f>
        <v/>
      </c>
      <c r="BN96" s="399">
        <f>-BN49</f>
        <v/>
      </c>
      <c r="BO96" s="399">
        <f>-BO49</f>
        <v/>
      </c>
      <c r="BP96" s="399">
        <f>-BP49</f>
        <v/>
      </c>
      <c r="BQ96" s="399">
        <f>-BQ49</f>
        <v/>
      </c>
      <c r="BR96" s="399">
        <f>-BR49</f>
        <v/>
      </c>
      <c r="BS96" s="399">
        <f>-BS49</f>
        <v/>
      </c>
      <c r="BT96" s="399">
        <f>-BT49</f>
        <v/>
      </c>
      <c r="BU96" s="399">
        <f>-BU49</f>
        <v/>
      </c>
      <c r="BV96" s="399">
        <f>-BV49</f>
        <v/>
      </c>
      <c r="BW96" s="399">
        <f>-BW49</f>
        <v/>
      </c>
      <c r="BX96" s="399">
        <f>-BX49</f>
        <v/>
      </c>
      <c r="BY96" s="399">
        <f>-BY49</f>
        <v/>
      </c>
      <c r="BZ96" s="399">
        <f>-BZ49</f>
        <v/>
      </c>
      <c r="CA96" s="399">
        <f>-CA49</f>
        <v/>
      </c>
      <c r="CB96" s="399">
        <f>-CB49</f>
        <v/>
      </c>
      <c r="CC96" s="399">
        <f>-CC49</f>
        <v/>
      </c>
      <c r="CD96" s="399">
        <f>-CD49</f>
        <v/>
      </c>
      <c r="CE96" s="399">
        <f>-CE49</f>
        <v/>
      </c>
      <c r="CF96" s="399">
        <f>-CF49</f>
        <v/>
      </c>
      <c r="CG96" s="399">
        <f>-CG49</f>
        <v/>
      </c>
      <c r="CH96" s="399">
        <f>-CH49</f>
        <v/>
      </c>
      <c r="CI96" s="399">
        <f>-CI49</f>
        <v/>
      </c>
      <c r="CJ96" s="399">
        <f>-CJ49</f>
        <v/>
      </c>
      <c r="CK96" s="399">
        <f>-CK49</f>
        <v/>
      </c>
      <c r="CL96" s="399">
        <f>-CL49</f>
        <v/>
      </c>
      <c r="CM96" s="399">
        <f>-CM49</f>
        <v/>
      </c>
      <c r="CN96" s="399">
        <f>-CN49</f>
        <v/>
      </c>
      <c r="CO96" s="399">
        <f>-CO49</f>
        <v/>
      </c>
      <c r="CP96" s="399">
        <f>-CP49</f>
        <v/>
      </c>
      <c r="CQ96" s="399">
        <f>-CQ49</f>
        <v/>
      </c>
      <c r="CR96" s="399">
        <f>-CR49</f>
        <v/>
      </c>
      <c r="CS96" s="399">
        <f>-CS49</f>
        <v/>
      </c>
      <c r="CT96" s="399">
        <f>-CT49</f>
        <v/>
      </c>
      <c r="CU96" s="399">
        <f>-CU49</f>
        <v/>
      </c>
      <c r="CV96" s="399">
        <f>-CV49</f>
        <v/>
      </c>
      <c r="CW96" s="399">
        <f>-CW49</f>
        <v/>
      </c>
      <c r="CX96" s="399">
        <f>-CX49</f>
        <v/>
      </c>
      <c r="CY96" s="399">
        <f>-CY49</f>
        <v/>
      </c>
      <c r="CZ96" s="399">
        <f>-CZ49</f>
        <v/>
      </c>
      <c r="DA96" s="399">
        <f>-DA49</f>
        <v/>
      </c>
      <c r="DB96" s="399">
        <f>-DB49</f>
        <v/>
      </c>
      <c r="DC96" s="399">
        <f>-DC49</f>
        <v/>
      </c>
      <c r="DD96" s="399">
        <f>-DD49</f>
        <v/>
      </c>
      <c r="DE96" s="399">
        <f>-DE49</f>
        <v/>
      </c>
    </row>
    <row r="97" hidden="1" outlineLevel="1" ht="15" customFormat="1" customHeight="1" s="380">
      <c r="A97" s="407" t="inlineStr">
        <is>
          <t>BD-25</t>
        </is>
      </c>
      <c r="B97" s="399" t="n">
        <v>0</v>
      </c>
      <c r="C97" s="399" t="n">
        <v>0</v>
      </c>
      <c r="D97" s="399" t="n">
        <v>0</v>
      </c>
      <c r="E97" s="399" t="n">
        <v>0</v>
      </c>
      <c r="F97" s="399">
        <f>-F50</f>
        <v/>
      </c>
      <c r="G97" s="399">
        <f>-G50</f>
        <v/>
      </c>
      <c r="H97" s="399">
        <f>-H50</f>
        <v/>
      </c>
      <c r="I97" s="399">
        <f>-I50</f>
        <v/>
      </c>
      <c r="J97" s="399">
        <f>-J50</f>
        <v/>
      </c>
      <c r="K97" s="399">
        <f>-K50</f>
        <v/>
      </c>
      <c r="L97" s="399">
        <f>-L50</f>
        <v/>
      </c>
      <c r="M97" s="399">
        <f>-M50</f>
        <v/>
      </c>
      <c r="N97" s="399">
        <f>-N50</f>
        <v/>
      </c>
      <c r="O97" s="399">
        <f>-O50</f>
        <v/>
      </c>
      <c r="P97" s="399">
        <f>-P50</f>
        <v/>
      </c>
      <c r="Q97" s="399">
        <f>-Q50</f>
        <v/>
      </c>
      <c r="R97" s="399">
        <f>-R50</f>
        <v/>
      </c>
      <c r="S97" s="399">
        <f>-S50</f>
        <v/>
      </c>
      <c r="T97" s="399">
        <f>-T50</f>
        <v/>
      </c>
      <c r="U97" s="399">
        <f>-U50</f>
        <v/>
      </c>
      <c r="V97" s="399">
        <f>-V50</f>
        <v/>
      </c>
      <c r="W97" s="399">
        <f>-W50</f>
        <v/>
      </c>
      <c r="X97" s="399">
        <f>-X50</f>
        <v/>
      </c>
      <c r="Y97" s="399">
        <f>-Y50</f>
        <v/>
      </c>
      <c r="Z97" s="399">
        <f>-Z50</f>
        <v/>
      </c>
      <c r="AA97" s="399">
        <f>-AA50</f>
        <v/>
      </c>
      <c r="AB97" s="399">
        <f>-AB50</f>
        <v/>
      </c>
      <c r="AC97" s="399">
        <f>-AC50</f>
        <v/>
      </c>
      <c r="AD97" s="399">
        <f>-AD50</f>
        <v/>
      </c>
      <c r="AE97" s="399">
        <f>-AE50</f>
        <v/>
      </c>
      <c r="AF97" s="399">
        <f>-AF50</f>
        <v/>
      </c>
      <c r="AG97" s="399">
        <f>-AG50</f>
        <v/>
      </c>
      <c r="AH97" s="399">
        <f>-AH50</f>
        <v/>
      </c>
      <c r="AI97" s="399">
        <f>-AI50</f>
        <v/>
      </c>
      <c r="AJ97" s="399">
        <f>-AJ50</f>
        <v/>
      </c>
      <c r="AK97" s="399">
        <f>-AK50</f>
        <v/>
      </c>
      <c r="AL97" s="399">
        <f>-AL50</f>
        <v/>
      </c>
      <c r="AM97" s="399">
        <f>-AM50</f>
        <v/>
      </c>
      <c r="AN97" s="399">
        <f>-AN50</f>
        <v/>
      </c>
      <c r="AO97" s="399">
        <f>-AO50</f>
        <v/>
      </c>
      <c r="AP97" s="399">
        <f>-AP50</f>
        <v/>
      </c>
      <c r="AQ97" s="399">
        <f>-AQ50</f>
        <v/>
      </c>
      <c r="AR97" s="399">
        <f>-AR50</f>
        <v/>
      </c>
      <c r="AS97" s="399">
        <f>-AS50</f>
        <v/>
      </c>
      <c r="AT97" s="399">
        <f>-AT50</f>
        <v/>
      </c>
      <c r="AU97" s="399">
        <f>-AU50</f>
        <v/>
      </c>
      <c r="AV97" s="399">
        <f>-AV50</f>
        <v/>
      </c>
      <c r="AW97" s="399">
        <f>-AW50</f>
        <v/>
      </c>
      <c r="AX97" s="399">
        <f>-AX50</f>
        <v/>
      </c>
      <c r="AY97" s="399">
        <f>-AY50</f>
        <v/>
      </c>
      <c r="AZ97" s="399">
        <f>-AZ50</f>
        <v/>
      </c>
      <c r="BA97" s="399">
        <f>-BA50</f>
        <v/>
      </c>
      <c r="BB97" s="399">
        <f>-BB50</f>
        <v/>
      </c>
      <c r="BC97" s="399">
        <f>-BC50</f>
        <v/>
      </c>
      <c r="BD97" s="399">
        <f>-BD50</f>
        <v/>
      </c>
      <c r="BE97" s="399">
        <f>-BE50</f>
        <v/>
      </c>
      <c r="BF97" s="399">
        <f>-BF50</f>
        <v/>
      </c>
      <c r="BG97" s="399">
        <f>-BG50</f>
        <v/>
      </c>
      <c r="BH97" s="399">
        <f>-BH50</f>
        <v/>
      </c>
      <c r="BI97" s="399">
        <f>-BI50</f>
        <v/>
      </c>
      <c r="BJ97" s="399">
        <f>-BJ50</f>
        <v/>
      </c>
      <c r="BK97" s="399">
        <f>-BK50</f>
        <v/>
      </c>
      <c r="BL97" s="399">
        <f>-BL50</f>
        <v/>
      </c>
      <c r="BM97" s="399">
        <f>-BM50</f>
        <v/>
      </c>
      <c r="BN97" s="399">
        <f>-BN50</f>
        <v/>
      </c>
      <c r="BO97" s="399">
        <f>-BO50</f>
        <v/>
      </c>
      <c r="BP97" s="399">
        <f>-BP50</f>
        <v/>
      </c>
      <c r="BQ97" s="399">
        <f>-BQ50</f>
        <v/>
      </c>
      <c r="BR97" s="399">
        <f>-BR50</f>
        <v/>
      </c>
      <c r="BS97" s="399">
        <f>-BS50</f>
        <v/>
      </c>
      <c r="BT97" s="399">
        <f>-BT50</f>
        <v/>
      </c>
      <c r="BU97" s="399">
        <f>-BU50</f>
        <v/>
      </c>
      <c r="BV97" s="399">
        <f>-BV50</f>
        <v/>
      </c>
      <c r="BW97" s="399">
        <f>-BW50</f>
        <v/>
      </c>
      <c r="BX97" s="399">
        <f>-BX50</f>
        <v/>
      </c>
      <c r="BY97" s="399">
        <f>-BY50</f>
        <v/>
      </c>
      <c r="BZ97" s="399">
        <f>-BZ50</f>
        <v/>
      </c>
      <c r="CA97" s="399">
        <f>-CA50</f>
        <v/>
      </c>
      <c r="CB97" s="399">
        <f>-CB50</f>
        <v/>
      </c>
      <c r="CC97" s="399">
        <f>-CC50</f>
        <v/>
      </c>
      <c r="CD97" s="399">
        <f>-CD50</f>
        <v/>
      </c>
      <c r="CE97" s="399">
        <f>-CE50</f>
        <v/>
      </c>
      <c r="CF97" s="399">
        <f>-CF50</f>
        <v/>
      </c>
      <c r="CG97" s="399">
        <f>-CG50</f>
        <v/>
      </c>
      <c r="CH97" s="399">
        <f>-CH50</f>
        <v/>
      </c>
      <c r="CI97" s="399">
        <f>-CI50</f>
        <v/>
      </c>
      <c r="CJ97" s="399">
        <f>-CJ50</f>
        <v/>
      </c>
      <c r="CK97" s="399">
        <f>-CK50</f>
        <v/>
      </c>
      <c r="CL97" s="399">
        <f>-CL50</f>
        <v/>
      </c>
      <c r="CM97" s="399">
        <f>-CM50</f>
        <v/>
      </c>
      <c r="CN97" s="399">
        <f>-CN50</f>
        <v/>
      </c>
      <c r="CO97" s="399">
        <f>-CO50</f>
        <v/>
      </c>
      <c r="CP97" s="399">
        <f>-CP50</f>
        <v/>
      </c>
      <c r="CQ97" s="399">
        <f>-CQ50</f>
        <v/>
      </c>
      <c r="CR97" s="399">
        <f>-CR50</f>
        <v/>
      </c>
      <c r="CS97" s="399">
        <f>-CS50</f>
        <v/>
      </c>
      <c r="CT97" s="399">
        <f>-CT50</f>
        <v/>
      </c>
      <c r="CU97" s="399">
        <f>-CU50</f>
        <v/>
      </c>
      <c r="CV97" s="399">
        <f>-CV50</f>
        <v/>
      </c>
      <c r="CW97" s="399">
        <f>-CW50</f>
        <v/>
      </c>
      <c r="CX97" s="399">
        <f>-CX50</f>
        <v/>
      </c>
      <c r="CY97" s="399">
        <f>-CY50</f>
        <v/>
      </c>
      <c r="CZ97" s="399">
        <f>-CZ50</f>
        <v/>
      </c>
      <c r="DA97" s="399">
        <f>-DA50</f>
        <v/>
      </c>
      <c r="DB97" s="399">
        <f>-DB50</f>
        <v/>
      </c>
      <c r="DC97" s="399">
        <f>-DC50</f>
        <v/>
      </c>
      <c r="DD97" s="399">
        <f>-DD50</f>
        <v/>
      </c>
      <c r="DE97" s="399">
        <f>-DE50</f>
        <v/>
      </c>
    </row>
    <row r="98" hidden="1" outlineLevel="1" ht="15" customFormat="1" customHeight="1" s="380">
      <c r="A98" s="407" t="inlineStr">
        <is>
          <t>BD-26</t>
        </is>
      </c>
      <c r="B98" s="399" t="n">
        <v>0</v>
      </c>
      <c r="C98" s="399" t="n">
        <v>0</v>
      </c>
      <c r="D98" s="399" t="n">
        <v>0</v>
      </c>
      <c r="E98" s="399" t="n">
        <v>0</v>
      </c>
      <c r="F98" s="399">
        <f>-F51</f>
        <v/>
      </c>
      <c r="G98" s="399">
        <f>-G51</f>
        <v/>
      </c>
      <c r="H98" s="399">
        <f>-H51</f>
        <v/>
      </c>
      <c r="I98" s="399">
        <f>-I51</f>
        <v/>
      </c>
      <c r="J98" s="399">
        <f>-J51</f>
        <v/>
      </c>
      <c r="K98" s="399">
        <f>-K51</f>
        <v/>
      </c>
      <c r="L98" s="399">
        <f>-L51</f>
        <v/>
      </c>
      <c r="M98" s="399">
        <f>-M51</f>
        <v/>
      </c>
      <c r="N98" s="399">
        <f>-N51</f>
        <v/>
      </c>
      <c r="O98" s="399">
        <f>-O51</f>
        <v/>
      </c>
      <c r="P98" s="399">
        <f>-P51</f>
        <v/>
      </c>
      <c r="Q98" s="399">
        <f>-Q51</f>
        <v/>
      </c>
      <c r="R98" s="399">
        <f>-R51</f>
        <v/>
      </c>
      <c r="S98" s="399">
        <f>-S51</f>
        <v/>
      </c>
      <c r="T98" s="399">
        <f>-T51</f>
        <v/>
      </c>
      <c r="U98" s="399">
        <f>-U51</f>
        <v/>
      </c>
      <c r="V98" s="399">
        <f>-V51</f>
        <v/>
      </c>
      <c r="W98" s="399">
        <f>-W51</f>
        <v/>
      </c>
      <c r="X98" s="399">
        <f>-X51</f>
        <v/>
      </c>
      <c r="Y98" s="399">
        <f>-Y51</f>
        <v/>
      </c>
      <c r="Z98" s="399">
        <f>-Z51</f>
        <v/>
      </c>
      <c r="AA98" s="399">
        <f>-AA51</f>
        <v/>
      </c>
      <c r="AB98" s="399">
        <f>-AB51</f>
        <v/>
      </c>
      <c r="AC98" s="399">
        <f>-AC51</f>
        <v/>
      </c>
      <c r="AD98" s="399">
        <f>-AD51</f>
        <v/>
      </c>
      <c r="AE98" s="399">
        <f>-AE51</f>
        <v/>
      </c>
      <c r="AF98" s="399">
        <f>-AF51</f>
        <v/>
      </c>
      <c r="AG98" s="399">
        <f>-AG51</f>
        <v/>
      </c>
      <c r="AH98" s="399">
        <f>-AH51</f>
        <v/>
      </c>
      <c r="AI98" s="399">
        <f>-AI51</f>
        <v/>
      </c>
      <c r="AJ98" s="399">
        <f>-AJ51</f>
        <v/>
      </c>
      <c r="AK98" s="399">
        <f>-AK51</f>
        <v/>
      </c>
      <c r="AL98" s="399">
        <f>-AL51</f>
        <v/>
      </c>
      <c r="AM98" s="399">
        <f>-AM51</f>
        <v/>
      </c>
      <c r="AN98" s="399">
        <f>-AN51</f>
        <v/>
      </c>
      <c r="AO98" s="399">
        <f>-AO51</f>
        <v/>
      </c>
      <c r="AP98" s="399">
        <f>-AP51</f>
        <v/>
      </c>
      <c r="AQ98" s="399">
        <f>-AQ51</f>
        <v/>
      </c>
      <c r="AR98" s="399">
        <f>-AR51</f>
        <v/>
      </c>
      <c r="AS98" s="399">
        <f>-AS51</f>
        <v/>
      </c>
      <c r="AT98" s="399">
        <f>-AT51</f>
        <v/>
      </c>
      <c r="AU98" s="399">
        <f>-AU51</f>
        <v/>
      </c>
      <c r="AV98" s="399">
        <f>-AV51</f>
        <v/>
      </c>
      <c r="AW98" s="399">
        <f>-AW51</f>
        <v/>
      </c>
      <c r="AX98" s="399">
        <f>-AX51</f>
        <v/>
      </c>
      <c r="AY98" s="399">
        <f>-AY51</f>
        <v/>
      </c>
      <c r="AZ98" s="399">
        <f>-AZ51</f>
        <v/>
      </c>
      <c r="BA98" s="399">
        <f>-BA51</f>
        <v/>
      </c>
      <c r="BB98" s="399">
        <f>-BB51</f>
        <v/>
      </c>
      <c r="BC98" s="399">
        <f>-BC51</f>
        <v/>
      </c>
      <c r="BD98" s="399">
        <f>-BD51</f>
        <v/>
      </c>
      <c r="BE98" s="399">
        <f>-BE51</f>
        <v/>
      </c>
      <c r="BF98" s="399">
        <f>-BF51</f>
        <v/>
      </c>
      <c r="BG98" s="399">
        <f>-BG51</f>
        <v/>
      </c>
      <c r="BH98" s="399">
        <f>-BH51</f>
        <v/>
      </c>
      <c r="BI98" s="399">
        <f>-BI51</f>
        <v/>
      </c>
      <c r="BJ98" s="399">
        <f>-BJ51</f>
        <v/>
      </c>
      <c r="BK98" s="399">
        <f>-BK51</f>
        <v/>
      </c>
      <c r="BL98" s="399">
        <f>-BL51</f>
        <v/>
      </c>
      <c r="BM98" s="399">
        <f>-BM51</f>
        <v/>
      </c>
      <c r="BN98" s="399">
        <f>-BN51</f>
        <v/>
      </c>
      <c r="BO98" s="399">
        <f>-BO51</f>
        <v/>
      </c>
      <c r="BP98" s="399">
        <f>-BP51</f>
        <v/>
      </c>
      <c r="BQ98" s="399">
        <f>-BQ51</f>
        <v/>
      </c>
      <c r="BR98" s="399">
        <f>-BR51</f>
        <v/>
      </c>
      <c r="BS98" s="399">
        <f>-BS51</f>
        <v/>
      </c>
      <c r="BT98" s="399">
        <f>-BT51</f>
        <v/>
      </c>
      <c r="BU98" s="399">
        <f>-BU51</f>
        <v/>
      </c>
      <c r="BV98" s="399">
        <f>-BV51</f>
        <v/>
      </c>
      <c r="BW98" s="399">
        <f>-BW51</f>
        <v/>
      </c>
      <c r="BX98" s="399">
        <f>-BX51</f>
        <v/>
      </c>
      <c r="BY98" s="399">
        <f>-BY51</f>
        <v/>
      </c>
      <c r="BZ98" s="399">
        <f>-BZ51</f>
        <v/>
      </c>
      <c r="CA98" s="399">
        <f>-CA51</f>
        <v/>
      </c>
      <c r="CB98" s="399">
        <f>-CB51</f>
        <v/>
      </c>
      <c r="CC98" s="399">
        <f>-CC51</f>
        <v/>
      </c>
      <c r="CD98" s="399">
        <f>-CD51</f>
        <v/>
      </c>
      <c r="CE98" s="399">
        <f>-CE51</f>
        <v/>
      </c>
      <c r="CF98" s="399">
        <f>-CF51</f>
        <v/>
      </c>
      <c r="CG98" s="399">
        <f>-CG51</f>
        <v/>
      </c>
      <c r="CH98" s="399">
        <f>-CH51</f>
        <v/>
      </c>
      <c r="CI98" s="399">
        <f>-CI51</f>
        <v/>
      </c>
      <c r="CJ98" s="399">
        <f>-CJ51</f>
        <v/>
      </c>
      <c r="CK98" s="399">
        <f>-CK51</f>
        <v/>
      </c>
      <c r="CL98" s="399">
        <f>-CL51</f>
        <v/>
      </c>
      <c r="CM98" s="399">
        <f>-CM51</f>
        <v/>
      </c>
      <c r="CN98" s="399">
        <f>-CN51</f>
        <v/>
      </c>
      <c r="CO98" s="399">
        <f>-CO51</f>
        <v/>
      </c>
      <c r="CP98" s="399">
        <f>-CP51</f>
        <v/>
      </c>
      <c r="CQ98" s="399">
        <f>-CQ51</f>
        <v/>
      </c>
      <c r="CR98" s="399">
        <f>-CR51</f>
        <v/>
      </c>
      <c r="CS98" s="399">
        <f>-CS51</f>
        <v/>
      </c>
      <c r="CT98" s="399">
        <f>-CT51</f>
        <v/>
      </c>
      <c r="CU98" s="399">
        <f>-CU51</f>
        <v/>
      </c>
      <c r="CV98" s="399">
        <f>-CV51</f>
        <v/>
      </c>
      <c r="CW98" s="399">
        <f>-CW51</f>
        <v/>
      </c>
      <c r="CX98" s="399">
        <f>-CX51</f>
        <v/>
      </c>
      <c r="CY98" s="399">
        <f>-CY51</f>
        <v/>
      </c>
      <c r="CZ98" s="399">
        <f>-CZ51</f>
        <v/>
      </c>
      <c r="DA98" s="399">
        <f>-DA51</f>
        <v/>
      </c>
      <c r="DB98" s="399">
        <f>-DB51</f>
        <v/>
      </c>
      <c r="DC98" s="399">
        <f>-DC51</f>
        <v/>
      </c>
      <c r="DD98" s="399">
        <f>-DD51</f>
        <v/>
      </c>
      <c r="DE98" s="399">
        <f>-DE51</f>
        <v/>
      </c>
    </row>
    <row r="99" hidden="1" outlineLevel="1" ht="15" customFormat="1" customHeight="1" s="380">
      <c r="A99" s="407" t="inlineStr">
        <is>
          <t>BD-27</t>
        </is>
      </c>
      <c r="B99" s="399" t="n">
        <v>0</v>
      </c>
      <c r="C99" s="399" t="n">
        <v>0</v>
      </c>
      <c r="D99" s="399" t="n">
        <v>0</v>
      </c>
      <c r="E99" s="399" t="n">
        <v>0</v>
      </c>
      <c r="F99" s="399">
        <f>-F52</f>
        <v/>
      </c>
      <c r="G99" s="399">
        <f>-G52</f>
        <v/>
      </c>
      <c r="H99" s="399">
        <f>-H52</f>
        <v/>
      </c>
      <c r="I99" s="399">
        <f>-I52</f>
        <v/>
      </c>
      <c r="J99" s="399">
        <f>-J52</f>
        <v/>
      </c>
      <c r="K99" s="399">
        <f>-K52</f>
        <v/>
      </c>
      <c r="L99" s="399">
        <f>-L52</f>
        <v/>
      </c>
      <c r="M99" s="399">
        <f>-M52</f>
        <v/>
      </c>
      <c r="N99" s="399">
        <f>-N52</f>
        <v/>
      </c>
      <c r="O99" s="399">
        <f>-O52</f>
        <v/>
      </c>
      <c r="P99" s="399">
        <f>-P52</f>
        <v/>
      </c>
      <c r="Q99" s="399">
        <f>-Q52</f>
        <v/>
      </c>
      <c r="R99" s="399">
        <f>-R52</f>
        <v/>
      </c>
      <c r="S99" s="399">
        <f>-S52</f>
        <v/>
      </c>
      <c r="T99" s="399">
        <f>-T52</f>
        <v/>
      </c>
      <c r="U99" s="399">
        <f>-U52</f>
        <v/>
      </c>
      <c r="V99" s="399">
        <f>-V52</f>
        <v/>
      </c>
      <c r="W99" s="399">
        <f>-W52</f>
        <v/>
      </c>
      <c r="X99" s="399">
        <f>-X52</f>
        <v/>
      </c>
      <c r="Y99" s="399">
        <f>-Y52</f>
        <v/>
      </c>
      <c r="Z99" s="399">
        <f>-Z52</f>
        <v/>
      </c>
      <c r="AA99" s="399">
        <f>-AA52</f>
        <v/>
      </c>
      <c r="AB99" s="399">
        <f>-AB52</f>
        <v/>
      </c>
      <c r="AC99" s="399">
        <f>-AC52</f>
        <v/>
      </c>
      <c r="AD99" s="399">
        <f>-AD52</f>
        <v/>
      </c>
      <c r="AE99" s="399">
        <f>-AE52</f>
        <v/>
      </c>
      <c r="AF99" s="399">
        <f>-AF52</f>
        <v/>
      </c>
      <c r="AG99" s="399">
        <f>-AG52</f>
        <v/>
      </c>
      <c r="AH99" s="399">
        <f>-AH52</f>
        <v/>
      </c>
      <c r="AI99" s="399">
        <f>-AI52</f>
        <v/>
      </c>
      <c r="AJ99" s="399">
        <f>-AJ52</f>
        <v/>
      </c>
      <c r="AK99" s="399">
        <f>-AK52</f>
        <v/>
      </c>
      <c r="AL99" s="399">
        <f>-AL52</f>
        <v/>
      </c>
      <c r="AM99" s="399">
        <f>-AM52</f>
        <v/>
      </c>
      <c r="AN99" s="399">
        <f>-AN52</f>
        <v/>
      </c>
      <c r="AO99" s="399">
        <f>-AO52</f>
        <v/>
      </c>
      <c r="AP99" s="399">
        <f>-AP52</f>
        <v/>
      </c>
      <c r="AQ99" s="399">
        <f>-AQ52</f>
        <v/>
      </c>
      <c r="AR99" s="399">
        <f>-AR52</f>
        <v/>
      </c>
      <c r="AS99" s="399">
        <f>-AS52</f>
        <v/>
      </c>
      <c r="AT99" s="399">
        <f>-AT52</f>
        <v/>
      </c>
      <c r="AU99" s="399">
        <f>-AU52</f>
        <v/>
      </c>
      <c r="AV99" s="399">
        <f>-AV52</f>
        <v/>
      </c>
      <c r="AW99" s="399">
        <f>-AW52</f>
        <v/>
      </c>
      <c r="AX99" s="399">
        <f>-AX52</f>
        <v/>
      </c>
      <c r="AY99" s="399">
        <f>-AY52</f>
        <v/>
      </c>
      <c r="AZ99" s="399">
        <f>-AZ52</f>
        <v/>
      </c>
      <c r="BA99" s="399">
        <f>-BA52</f>
        <v/>
      </c>
      <c r="BB99" s="399">
        <f>-BB52</f>
        <v/>
      </c>
      <c r="BC99" s="399">
        <f>-BC52</f>
        <v/>
      </c>
      <c r="BD99" s="399">
        <f>-BD52</f>
        <v/>
      </c>
      <c r="BE99" s="399">
        <f>-BE52</f>
        <v/>
      </c>
      <c r="BF99" s="399">
        <f>-BF52</f>
        <v/>
      </c>
      <c r="BG99" s="399">
        <f>-BG52</f>
        <v/>
      </c>
      <c r="BH99" s="399">
        <f>-BH52</f>
        <v/>
      </c>
      <c r="BI99" s="399">
        <f>-BI52</f>
        <v/>
      </c>
      <c r="BJ99" s="399">
        <f>-BJ52</f>
        <v/>
      </c>
      <c r="BK99" s="399">
        <f>-BK52</f>
        <v/>
      </c>
      <c r="BL99" s="399">
        <f>-BL52</f>
        <v/>
      </c>
      <c r="BM99" s="399">
        <f>-BM52</f>
        <v/>
      </c>
      <c r="BN99" s="399">
        <f>-BN52</f>
        <v/>
      </c>
      <c r="BO99" s="399">
        <f>-BO52</f>
        <v/>
      </c>
      <c r="BP99" s="399">
        <f>-BP52</f>
        <v/>
      </c>
      <c r="BQ99" s="399">
        <f>-BQ52</f>
        <v/>
      </c>
      <c r="BR99" s="399">
        <f>-BR52</f>
        <v/>
      </c>
      <c r="BS99" s="399">
        <f>-BS52</f>
        <v/>
      </c>
      <c r="BT99" s="399">
        <f>-BT52</f>
        <v/>
      </c>
      <c r="BU99" s="399">
        <f>-BU52</f>
        <v/>
      </c>
      <c r="BV99" s="399">
        <f>-BV52</f>
        <v/>
      </c>
      <c r="BW99" s="399">
        <f>-BW52</f>
        <v/>
      </c>
      <c r="BX99" s="399">
        <f>-BX52</f>
        <v/>
      </c>
      <c r="BY99" s="399">
        <f>-BY52</f>
        <v/>
      </c>
      <c r="BZ99" s="399">
        <f>-BZ52</f>
        <v/>
      </c>
      <c r="CA99" s="399">
        <f>-CA52</f>
        <v/>
      </c>
      <c r="CB99" s="399">
        <f>-CB52</f>
        <v/>
      </c>
      <c r="CC99" s="399">
        <f>-CC52</f>
        <v/>
      </c>
      <c r="CD99" s="399">
        <f>-CD52</f>
        <v/>
      </c>
      <c r="CE99" s="399">
        <f>-CE52</f>
        <v/>
      </c>
      <c r="CF99" s="399">
        <f>-CF52</f>
        <v/>
      </c>
      <c r="CG99" s="399">
        <f>-CG52</f>
        <v/>
      </c>
      <c r="CH99" s="399">
        <f>-CH52</f>
        <v/>
      </c>
      <c r="CI99" s="399">
        <f>-CI52</f>
        <v/>
      </c>
      <c r="CJ99" s="399">
        <f>-CJ52</f>
        <v/>
      </c>
      <c r="CK99" s="399">
        <f>-CK52</f>
        <v/>
      </c>
      <c r="CL99" s="399">
        <f>-CL52</f>
        <v/>
      </c>
      <c r="CM99" s="399">
        <f>-CM52</f>
        <v/>
      </c>
      <c r="CN99" s="399">
        <f>-CN52</f>
        <v/>
      </c>
      <c r="CO99" s="399">
        <f>-CO52</f>
        <v/>
      </c>
      <c r="CP99" s="399">
        <f>-CP52</f>
        <v/>
      </c>
      <c r="CQ99" s="399">
        <f>-CQ52</f>
        <v/>
      </c>
      <c r="CR99" s="399">
        <f>-CR52</f>
        <v/>
      </c>
      <c r="CS99" s="399">
        <f>-CS52</f>
        <v/>
      </c>
      <c r="CT99" s="399">
        <f>-CT52</f>
        <v/>
      </c>
      <c r="CU99" s="399">
        <f>-CU52</f>
        <v/>
      </c>
      <c r="CV99" s="399">
        <f>-CV52</f>
        <v/>
      </c>
      <c r="CW99" s="399">
        <f>-CW52</f>
        <v/>
      </c>
      <c r="CX99" s="399">
        <f>-CX52</f>
        <v/>
      </c>
      <c r="CY99" s="399">
        <f>-CY52</f>
        <v/>
      </c>
      <c r="CZ99" s="399">
        <f>-CZ52</f>
        <v/>
      </c>
      <c r="DA99" s="399">
        <f>-DA52</f>
        <v/>
      </c>
      <c r="DB99" s="399">
        <f>-DB52</f>
        <v/>
      </c>
      <c r="DC99" s="399">
        <f>-DC52</f>
        <v/>
      </c>
      <c r="DD99" s="399">
        <f>-DD52</f>
        <v/>
      </c>
      <c r="DE99" s="399">
        <f>-DE52</f>
        <v/>
      </c>
    </row>
    <row r="100" hidden="1" outlineLevel="1" ht="15" customFormat="1" customHeight="1" s="380">
      <c r="A100" s="407" t="inlineStr">
        <is>
          <t>BD-28</t>
        </is>
      </c>
      <c r="B100" s="399" t="n">
        <v>0</v>
      </c>
      <c r="C100" s="399" t="n">
        <v>0</v>
      </c>
      <c r="D100" s="399" t="n">
        <v>0</v>
      </c>
      <c r="E100" s="399" t="n">
        <v>0</v>
      </c>
      <c r="F100" s="399">
        <f>-F53</f>
        <v/>
      </c>
      <c r="G100" s="399">
        <f>-G53</f>
        <v/>
      </c>
      <c r="H100" s="399">
        <f>-H53</f>
        <v/>
      </c>
      <c r="I100" s="399">
        <f>-I53</f>
        <v/>
      </c>
      <c r="J100" s="399">
        <f>-J53</f>
        <v/>
      </c>
      <c r="K100" s="399">
        <f>-K53</f>
        <v/>
      </c>
      <c r="L100" s="399">
        <f>-L53</f>
        <v/>
      </c>
      <c r="M100" s="399">
        <f>-M53</f>
        <v/>
      </c>
      <c r="N100" s="399">
        <f>-N53</f>
        <v/>
      </c>
      <c r="O100" s="399">
        <f>-O53</f>
        <v/>
      </c>
      <c r="P100" s="399">
        <f>-P53</f>
        <v/>
      </c>
      <c r="Q100" s="399">
        <f>-Q53</f>
        <v/>
      </c>
      <c r="R100" s="399">
        <f>-R53</f>
        <v/>
      </c>
      <c r="S100" s="399">
        <f>-S53</f>
        <v/>
      </c>
      <c r="T100" s="399">
        <f>-T53</f>
        <v/>
      </c>
      <c r="U100" s="399">
        <f>-U53</f>
        <v/>
      </c>
      <c r="V100" s="399">
        <f>-V53</f>
        <v/>
      </c>
      <c r="W100" s="399">
        <f>-W53</f>
        <v/>
      </c>
      <c r="X100" s="399">
        <f>-X53</f>
        <v/>
      </c>
      <c r="Y100" s="399">
        <f>-Y53</f>
        <v/>
      </c>
      <c r="Z100" s="399">
        <f>-Z53</f>
        <v/>
      </c>
      <c r="AA100" s="399">
        <f>-AA53</f>
        <v/>
      </c>
      <c r="AB100" s="399">
        <f>-AB53</f>
        <v/>
      </c>
      <c r="AC100" s="399">
        <f>-AC53</f>
        <v/>
      </c>
      <c r="AD100" s="399">
        <f>-AD53</f>
        <v/>
      </c>
      <c r="AE100" s="399">
        <f>-AE53</f>
        <v/>
      </c>
      <c r="AF100" s="399">
        <f>-AF53</f>
        <v/>
      </c>
      <c r="AG100" s="399">
        <f>-AG53</f>
        <v/>
      </c>
      <c r="AH100" s="399">
        <f>-AH53</f>
        <v/>
      </c>
      <c r="AI100" s="399">
        <f>-AI53</f>
        <v/>
      </c>
      <c r="AJ100" s="399">
        <f>-AJ53</f>
        <v/>
      </c>
      <c r="AK100" s="399">
        <f>-AK53</f>
        <v/>
      </c>
      <c r="AL100" s="399">
        <f>-AL53</f>
        <v/>
      </c>
      <c r="AM100" s="399">
        <f>-AM53</f>
        <v/>
      </c>
      <c r="AN100" s="399">
        <f>-AN53</f>
        <v/>
      </c>
      <c r="AO100" s="399">
        <f>-AO53</f>
        <v/>
      </c>
      <c r="AP100" s="399">
        <f>-AP53</f>
        <v/>
      </c>
      <c r="AQ100" s="399">
        <f>-AQ53</f>
        <v/>
      </c>
      <c r="AR100" s="399">
        <f>-AR53</f>
        <v/>
      </c>
      <c r="AS100" s="399">
        <f>-AS53</f>
        <v/>
      </c>
      <c r="AT100" s="399">
        <f>-AT53</f>
        <v/>
      </c>
      <c r="AU100" s="399">
        <f>-AU53</f>
        <v/>
      </c>
      <c r="AV100" s="399">
        <f>-AV53</f>
        <v/>
      </c>
      <c r="AW100" s="399">
        <f>-AW53</f>
        <v/>
      </c>
      <c r="AX100" s="399">
        <f>-AX53</f>
        <v/>
      </c>
      <c r="AY100" s="399">
        <f>-AY53</f>
        <v/>
      </c>
      <c r="AZ100" s="399">
        <f>-AZ53</f>
        <v/>
      </c>
      <c r="BA100" s="399">
        <f>-BA53</f>
        <v/>
      </c>
      <c r="BB100" s="399">
        <f>-BB53</f>
        <v/>
      </c>
      <c r="BC100" s="399">
        <f>-BC53</f>
        <v/>
      </c>
      <c r="BD100" s="399">
        <f>-BD53</f>
        <v/>
      </c>
      <c r="BE100" s="399">
        <f>-BE53</f>
        <v/>
      </c>
      <c r="BF100" s="399">
        <f>-BF53</f>
        <v/>
      </c>
      <c r="BG100" s="399">
        <f>-BG53</f>
        <v/>
      </c>
      <c r="BH100" s="399">
        <f>-BH53</f>
        <v/>
      </c>
      <c r="BI100" s="399">
        <f>-BI53</f>
        <v/>
      </c>
      <c r="BJ100" s="399">
        <f>-BJ53</f>
        <v/>
      </c>
      <c r="BK100" s="399">
        <f>-BK53</f>
        <v/>
      </c>
      <c r="BL100" s="399">
        <f>-BL53</f>
        <v/>
      </c>
      <c r="BM100" s="399">
        <f>-BM53</f>
        <v/>
      </c>
      <c r="BN100" s="399">
        <f>-BN53</f>
        <v/>
      </c>
      <c r="BO100" s="399">
        <f>-BO53</f>
        <v/>
      </c>
      <c r="BP100" s="399">
        <f>-BP53</f>
        <v/>
      </c>
      <c r="BQ100" s="399">
        <f>-BQ53</f>
        <v/>
      </c>
      <c r="BR100" s="399">
        <f>-BR53</f>
        <v/>
      </c>
      <c r="BS100" s="399">
        <f>-BS53</f>
        <v/>
      </c>
      <c r="BT100" s="399">
        <f>-BT53</f>
        <v/>
      </c>
      <c r="BU100" s="399">
        <f>-BU53</f>
        <v/>
      </c>
      <c r="BV100" s="399">
        <f>-BV53</f>
        <v/>
      </c>
      <c r="BW100" s="399">
        <f>-BW53</f>
        <v/>
      </c>
      <c r="BX100" s="399">
        <f>-BX53</f>
        <v/>
      </c>
      <c r="BY100" s="399">
        <f>-BY53</f>
        <v/>
      </c>
      <c r="BZ100" s="399">
        <f>-BZ53</f>
        <v/>
      </c>
      <c r="CA100" s="399">
        <f>-CA53</f>
        <v/>
      </c>
      <c r="CB100" s="399">
        <f>-CB53</f>
        <v/>
      </c>
      <c r="CC100" s="399">
        <f>-CC53</f>
        <v/>
      </c>
      <c r="CD100" s="399">
        <f>-CD53</f>
        <v/>
      </c>
      <c r="CE100" s="399">
        <f>-CE53</f>
        <v/>
      </c>
      <c r="CF100" s="399">
        <f>-CF53</f>
        <v/>
      </c>
      <c r="CG100" s="399">
        <f>-CG53</f>
        <v/>
      </c>
      <c r="CH100" s="399">
        <f>-CH53</f>
        <v/>
      </c>
      <c r="CI100" s="399">
        <f>-CI53</f>
        <v/>
      </c>
      <c r="CJ100" s="399">
        <f>-CJ53</f>
        <v/>
      </c>
      <c r="CK100" s="399">
        <f>-CK53</f>
        <v/>
      </c>
      <c r="CL100" s="399">
        <f>-CL53</f>
        <v/>
      </c>
      <c r="CM100" s="399">
        <f>-CM53</f>
        <v/>
      </c>
      <c r="CN100" s="399">
        <f>-CN53</f>
        <v/>
      </c>
      <c r="CO100" s="399">
        <f>-CO53</f>
        <v/>
      </c>
      <c r="CP100" s="399">
        <f>-CP53</f>
        <v/>
      </c>
      <c r="CQ100" s="399">
        <f>-CQ53</f>
        <v/>
      </c>
      <c r="CR100" s="399">
        <f>-CR53</f>
        <v/>
      </c>
      <c r="CS100" s="399">
        <f>-CS53</f>
        <v/>
      </c>
      <c r="CT100" s="399">
        <f>-CT53</f>
        <v/>
      </c>
      <c r="CU100" s="399">
        <f>-CU53</f>
        <v/>
      </c>
      <c r="CV100" s="399">
        <f>-CV53</f>
        <v/>
      </c>
      <c r="CW100" s="399">
        <f>-CW53</f>
        <v/>
      </c>
      <c r="CX100" s="399">
        <f>-CX53</f>
        <v/>
      </c>
      <c r="CY100" s="399">
        <f>-CY53</f>
        <v/>
      </c>
      <c r="CZ100" s="399">
        <f>-CZ53</f>
        <v/>
      </c>
      <c r="DA100" s="399">
        <f>-DA53</f>
        <v/>
      </c>
      <c r="DB100" s="399">
        <f>-DB53</f>
        <v/>
      </c>
      <c r="DC100" s="399">
        <f>-DC53</f>
        <v/>
      </c>
      <c r="DD100" s="399">
        <f>-DD53</f>
        <v/>
      </c>
      <c r="DE100" s="399">
        <f>-DE53</f>
        <v/>
      </c>
    </row>
    <row r="101" hidden="1" outlineLevel="1" ht="15" customFormat="1" customHeight="1" s="380">
      <c r="A101" s="407" t="inlineStr">
        <is>
          <t>BD-29</t>
        </is>
      </c>
      <c r="B101" s="399" t="n">
        <v>0</v>
      </c>
      <c r="C101" s="399" t="n">
        <v>0</v>
      </c>
      <c r="D101" s="399" t="n">
        <v>0</v>
      </c>
      <c r="E101" s="399" t="n">
        <v>0</v>
      </c>
      <c r="F101" s="399">
        <f>-F54</f>
        <v/>
      </c>
      <c r="G101" s="399">
        <f>-G54</f>
        <v/>
      </c>
      <c r="H101" s="399">
        <f>-H54</f>
        <v/>
      </c>
      <c r="I101" s="399">
        <f>-I54</f>
        <v/>
      </c>
      <c r="J101" s="399">
        <f>-J54</f>
        <v/>
      </c>
      <c r="K101" s="399">
        <f>-K54</f>
        <v/>
      </c>
      <c r="L101" s="399">
        <f>-L54</f>
        <v/>
      </c>
      <c r="M101" s="399">
        <f>-M54</f>
        <v/>
      </c>
      <c r="N101" s="399">
        <f>-N54</f>
        <v/>
      </c>
      <c r="O101" s="399">
        <f>-O54</f>
        <v/>
      </c>
      <c r="P101" s="399">
        <f>-P54</f>
        <v/>
      </c>
      <c r="Q101" s="399">
        <f>-Q54</f>
        <v/>
      </c>
      <c r="R101" s="399">
        <f>-R54</f>
        <v/>
      </c>
      <c r="S101" s="399">
        <f>-S54</f>
        <v/>
      </c>
      <c r="T101" s="399">
        <f>-T54</f>
        <v/>
      </c>
      <c r="U101" s="399">
        <f>-U54</f>
        <v/>
      </c>
      <c r="V101" s="399">
        <f>-V54</f>
        <v/>
      </c>
      <c r="W101" s="399">
        <f>-W54</f>
        <v/>
      </c>
      <c r="X101" s="399">
        <f>-X54</f>
        <v/>
      </c>
      <c r="Y101" s="399">
        <f>-Y54</f>
        <v/>
      </c>
      <c r="Z101" s="399">
        <f>-Z54</f>
        <v/>
      </c>
      <c r="AA101" s="399">
        <f>-AA54</f>
        <v/>
      </c>
      <c r="AB101" s="399">
        <f>-AB54</f>
        <v/>
      </c>
      <c r="AC101" s="399">
        <f>-AC54</f>
        <v/>
      </c>
      <c r="AD101" s="399">
        <f>-AD54</f>
        <v/>
      </c>
      <c r="AE101" s="399">
        <f>-AE54</f>
        <v/>
      </c>
      <c r="AF101" s="399">
        <f>-AF54</f>
        <v/>
      </c>
      <c r="AG101" s="399">
        <f>-AG54</f>
        <v/>
      </c>
      <c r="AH101" s="399">
        <f>-AH54</f>
        <v/>
      </c>
      <c r="AI101" s="399">
        <f>-AI54</f>
        <v/>
      </c>
      <c r="AJ101" s="399">
        <f>-AJ54</f>
        <v/>
      </c>
      <c r="AK101" s="399">
        <f>-AK54</f>
        <v/>
      </c>
      <c r="AL101" s="399">
        <f>-AL54</f>
        <v/>
      </c>
      <c r="AM101" s="399">
        <f>-AM54</f>
        <v/>
      </c>
      <c r="AN101" s="399">
        <f>-AN54</f>
        <v/>
      </c>
      <c r="AO101" s="399">
        <f>-AO54</f>
        <v/>
      </c>
      <c r="AP101" s="399">
        <f>-AP54</f>
        <v/>
      </c>
      <c r="AQ101" s="399">
        <f>-AQ54</f>
        <v/>
      </c>
      <c r="AR101" s="399">
        <f>-AR54</f>
        <v/>
      </c>
      <c r="AS101" s="399">
        <f>-AS54</f>
        <v/>
      </c>
      <c r="AT101" s="399">
        <f>-AT54</f>
        <v/>
      </c>
      <c r="AU101" s="399">
        <f>-AU54</f>
        <v/>
      </c>
      <c r="AV101" s="399">
        <f>-AV54</f>
        <v/>
      </c>
      <c r="AW101" s="399">
        <f>-AW54</f>
        <v/>
      </c>
      <c r="AX101" s="399">
        <f>-AX54</f>
        <v/>
      </c>
      <c r="AY101" s="399">
        <f>-AY54</f>
        <v/>
      </c>
      <c r="AZ101" s="399">
        <f>-AZ54</f>
        <v/>
      </c>
      <c r="BA101" s="399">
        <f>-BA54</f>
        <v/>
      </c>
      <c r="BB101" s="399">
        <f>-BB54</f>
        <v/>
      </c>
      <c r="BC101" s="399">
        <f>-BC54</f>
        <v/>
      </c>
      <c r="BD101" s="399">
        <f>-BD54</f>
        <v/>
      </c>
      <c r="BE101" s="399">
        <f>-BE54</f>
        <v/>
      </c>
      <c r="BF101" s="399">
        <f>-BF54</f>
        <v/>
      </c>
      <c r="BG101" s="399">
        <f>-BG54</f>
        <v/>
      </c>
      <c r="BH101" s="399">
        <f>-BH54</f>
        <v/>
      </c>
      <c r="BI101" s="399">
        <f>-BI54</f>
        <v/>
      </c>
      <c r="BJ101" s="399">
        <f>-BJ54</f>
        <v/>
      </c>
      <c r="BK101" s="399">
        <f>-BK54</f>
        <v/>
      </c>
      <c r="BL101" s="399">
        <f>-BL54</f>
        <v/>
      </c>
      <c r="BM101" s="399">
        <f>-BM54</f>
        <v/>
      </c>
      <c r="BN101" s="399">
        <f>-BN54</f>
        <v/>
      </c>
      <c r="BO101" s="399">
        <f>-BO54</f>
        <v/>
      </c>
      <c r="BP101" s="399">
        <f>-BP54</f>
        <v/>
      </c>
      <c r="BQ101" s="399">
        <f>-BQ54</f>
        <v/>
      </c>
      <c r="BR101" s="399">
        <f>-BR54</f>
        <v/>
      </c>
      <c r="BS101" s="399">
        <f>-BS54</f>
        <v/>
      </c>
      <c r="BT101" s="399">
        <f>-BT54</f>
        <v/>
      </c>
      <c r="BU101" s="399">
        <f>-BU54</f>
        <v/>
      </c>
      <c r="BV101" s="399">
        <f>-BV54</f>
        <v/>
      </c>
      <c r="BW101" s="399">
        <f>-BW54</f>
        <v/>
      </c>
      <c r="BX101" s="399">
        <f>-BX54</f>
        <v/>
      </c>
      <c r="BY101" s="399">
        <f>-BY54</f>
        <v/>
      </c>
      <c r="BZ101" s="399">
        <f>-BZ54</f>
        <v/>
      </c>
      <c r="CA101" s="399">
        <f>-CA54</f>
        <v/>
      </c>
      <c r="CB101" s="399">
        <f>-CB54</f>
        <v/>
      </c>
      <c r="CC101" s="399">
        <f>-CC54</f>
        <v/>
      </c>
      <c r="CD101" s="399">
        <f>-CD54</f>
        <v/>
      </c>
      <c r="CE101" s="399">
        <f>-CE54</f>
        <v/>
      </c>
      <c r="CF101" s="399">
        <f>-CF54</f>
        <v/>
      </c>
      <c r="CG101" s="399">
        <f>-CG54</f>
        <v/>
      </c>
      <c r="CH101" s="399">
        <f>-CH54</f>
        <v/>
      </c>
      <c r="CI101" s="399">
        <f>-CI54</f>
        <v/>
      </c>
      <c r="CJ101" s="399">
        <f>-CJ54</f>
        <v/>
      </c>
      <c r="CK101" s="399">
        <f>-CK54</f>
        <v/>
      </c>
      <c r="CL101" s="399">
        <f>-CL54</f>
        <v/>
      </c>
      <c r="CM101" s="399">
        <f>-CM54</f>
        <v/>
      </c>
      <c r="CN101" s="399">
        <f>-CN54</f>
        <v/>
      </c>
      <c r="CO101" s="399">
        <f>-CO54</f>
        <v/>
      </c>
      <c r="CP101" s="399">
        <f>-CP54</f>
        <v/>
      </c>
      <c r="CQ101" s="399">
        <f>-CQ54</f>
        <v/>
      </c>
      <c r="CR101" s="399">
        <f>-CR54</f>
        <v/>
      </c>
      <c r="CS101" s="399">
        <f>-CS54</f>
        <v/>
      </c>
      <c r="CT101" s="399">
        <f>-CT54</f>
        <v/>
      </c>
      <c r="CU101" s="399">
        <f>-CU54</f>
        <v/>
      </c>
      <c r="CV101" s="399">
        <f>-CV54</f>
        <v/>
      </c>
      <c r="CW101" s="399">
        <f>-CW54</f>
        <v/>
      </c>
      <c r="CX101" s="399">
        <f>-CX54</f>
        <v/>
      </c>
      <c r="CY101" s="399">
        <f>-CY54</f>
        <v/>
      </c>
      <c r="CZ101" s="399">
        <f>-CZ54</f>
        <v/>
      </c>
      <c r="DA101" s="399">
        <f>-DA54</f>
        <v/>
      </c>
      <c r="DB101" s="399">
        <f>-DB54</f>
        <v/>
      </c>
      <c r="DC101" s="399">
        <f>-DC54</f>
        <v/>
      </c>
      <c r="DD101" s="399">
        <f>-DD54</f>
        <v/>
      </c>
      <c r="DE101" s="399">
        <f>-DE54</f>
        <v/>
      </c>
    </row>
    <row r="102" hidden="1" outlineLevel="1" ht="15" customFormat="1" customHeight="1" s="380">
      <c r="A102" s="407" t="inlineStr">
        <is>
          <t>BD-30</t>
        </is>
      </c>
      <c r="B102" s="399" t="n">
        <v>0</v>
      </c>
      <c r="C102" s="399" t="n">
        <v>0</v>
      </c>
      <c r="D102" s="399" t="n">
        <v>0</v>
      </c>
      <c r="E102" s="399" t="n">
        <v>0</v>
      </c>
      <c r="F102" s="399">
        <f>-F55</f>
        <v/>
      </c>
      <c r="G102" s="399">
        <f>-G55</f>
        <v/>
      </c>
      <c r="H102" s="399">
        <f>-H55</f>
        <v/>
      </c>
      <c r="I102" s="399">
        <f>-I55</f>
        <v/>
      </c>
      <c r="J102" s="399">
        <f>-J55</f>
        <v/>
      </c>
      <c r="K102" s="399">
        <f>-K55</f>
        <v/>
      </c>
      <c r="L102" s="399">
        <f>-L55</f>
        <v/>
      </c>
      <c r="M102" s="399">
        <f>-M55</f>
        <v/>
      </c>
      <c r="N102" s="399">
        <f>-N55</f>
        <v/>
      </c>
      <c r="O102" s="399">
        <f>-O55</f>
        <v/>
      </c>
      <c r="P102" s="399">
        <f>-P55</f>
        <v/>
      </c>
      <c r="Q102" s="399">
        <f>-Q55</f>
        <v/>
      </c>
      <c r="R102" s="399">
        <f>-R55</f>
        <v/>
      </c>
      <c r="S102" s="399">
        <f>-S55</f>
        <v/>
      </c>
      <c r="T102" s="399">
        <f>-T55</f>
        <v/>
      </c>
      <c r="U102" s="399">
        <f>-U55</f>
        <v/>
      </c>
      <c r="V102" s="399">
        <f>-V55</f>
        <v/>
      </c>
      <c r="W102" s="399">
        <f>-W55</f>
        <v/>
      </c>
      <c r="X102" s="399">
        <f>-X55</f>
        <v/>
      </c>
      <c r="Y102" s="399">
        <f>-Y55</f>
        <v/>
      </c>
      <c r="Z102" s="399">
        <f>-Z55</f>
        <v/>
      </c>
      <c r="AA102" s="399">
        <f>-AA55</f>
        <v/>
      </c>
      <c r="AB102" s="399">
        <f>-AB55</f>
        <v/>
      </c>
      <c r="AC102" s="399">
        <f>-AC55</f>
        <v/>
      </c>
      <c r="AD102" s="399">
        <f>-AD55</f>
        <v/>
      </c>
      <c r="AE102" s="399">
        <f>-AE55</f>
        <v/>
      </c>
      <c r="AF102" s="399">
        <f>-AF55</f>
        <v/>
      </c>
      <c r="AG102" s="399">
        <f>-AG55</f>
        <v/>
      </c>
      <c r="AH102" s="399">
        <f>-AH55</f>
        <v/>
      </c>
      <c r="AI102" s="399">
        <f>-AI55</f>
        <v/>
      </c>
      <c r="AJ102" s="399">
        <f>-AJ55</f>
        <v/>
      </c>
      <c r="AK102" s="399">
        <f>-AK55</f>
        <v/>
      </c>
      <c r="AL102" s="399">
        <f>-AL55</f>
        <v/>
      </c>
      <c r="AM102" s="399">
        <f>-AM55</f>
        <v/>
      </c>
      <c r="AN102" s="399">
        <f>-AN55</f>
        <v/>
      </c>
      <c r="AO102" s="399">
        <f>-AO55</f>
        <v/>
      </c>
      <c r="AP102" s="399">
        <f>-AP55</f>
        <v/>
      </c>
      <c r="AQ102" s="399">
        <f>-AQ55</f>
        <v/>
      </c>
      <c r="AR102" s="399">
        <f>-AR55</f>
        <v/>
      </c>
      <c r="AS102" s="399">
        <f>-AS55</f>
        <v/>
      </c>
      <c r="AT102" s="399">
        <f>-AT55</f>
        <v/>
      </c>
      <c r="AU102" s="399">
        <f>-AU55</f>
        <v/>
      </c>
      <c r="AV102" s="399">
        <f>-AV55</f>
        <v/>
      </c>
      <c r="AW102" s="399">
        <f>-AW55</f>
        <v/>
      </c>
      <c r="AX102" s="399">
        <f>-AX55</f>
        <v/>
      </c>
      <c r="AY102" s="399">
        <f>-AY55</f>
        <v/>
      </c>
      <c r="AZ102" s="399">
        <f>-AZ55</f>
        <v/>
      </c>
      <c r="BA102" s="399">
        <f>-BA55</f>
        <v/>
      </c>
      <c r="BB102" s="399">
        <f>-BB55</f>
        <v/>
      </c>
      <c r="BC102" s="399">
        <f>-BC55</f>
        <v/>
      </c>
      <c r="BD102" s="399">
        <f>-BD55</f>
        <v/>
      </c>
      <c r="BE102" s="399">
        <f>-BE55</f>
        <v/>
      </c>
      <c r="BF102" s="399">
        <f>-BF55</f>
        <v/>
      </c>
      <c r="BG102" s="399">
        <f>-BG55</f>
        <v/>
      </c>
      <c r="BH102" s="399">
        <f>-BH55</f>
        <v/>
      </c>
      <c r="BI102" s="399">
        <f>-BI55</f>
        <v/>
      </c>
      <c r="BJ102" s="399">
        <f>-BJ55</f>
        <v/>
      </c>
      <c r="BK102" s="399">
        <f>-BK55</f>
        <v/>
      </c>
      <c r="BL102" s="399">
        <f>-BL55</f>
        <v/>
      </c>
      <c r="BM102" s="399">
        <f>-BM55</f>
        <v/>
      </c>
      <c r="BN102" s="399">
        <f>-BN55</f>
        <v/>
      </c>
      <c r="BO102" s="399">
        <f>-BO55</f>
        <v/>
      </c>
      <c r="BP102" s="399">
        <f>-BP55</f>
        <v/>
      </c>
      <c r="BQ102" s="399">
        <f>-BQ55</f>
        <v/>
      </c>
      <c r="BR102" s="399">
        <f>-BR55</f>
        <v/>
      </c>
      <c r="BS102" s="399">
        <f>-BS55</f>
        <v/>
      </c>
      <c r="BT102" s="399">
        <f>-BT55</f>
        <v/>
      </c>
      <c r="BU102" s="399">
        <f>-BU55</f>
        <v/>
      </c>
      <c r="BV102" s="399">
        <f>-BV55</f>
        <v/>
      </c>
      <c r="BW102" s="399">
        <f>-BW55</f>
        <v/>
      </c>
      <c r="BX102" s="399">
        <f>-BX55</f>
        <v/>
      </c>
      <c r="BY102" s="399">
        <f>-BY55</f>
        <v/>
      </c>
      <c r="BZ102" s="399">
        <f>-BZ55</f>
        <v/>
      </c>
      <c r="CA102" s="399">
        <f>-CA55</f>
        <v/>
      </c>
      <c r="CB102" s="399">
        <f>-CB55</f>
        <v/>
      </c>
      <c r="CC102" s="399">
        <f>-CC55</f>
        <v/>
      </c>
      <c r="CD102" s="399">
        <f>-CD55</f>
        <v/>
      </c>
      <c r="CE102" s="399">
        <f>-CE55</f>
        <v/>
      </c>
      <c r="CF102" s="399">
        <f>-CF55</f>
        <v/>
      </c>
      <c r="CG102" s="399">
        <f>-CG55</f>
        <v/>
      </c>
      <c r="CH102" s="399">
        <f>-CH55</f>
        <v/>
      </c>
      <c r="CI102" s="399">
        <f>-CI55</f>
        <v/>
      </c>
      <c r="CJ102" s="399">
        <f>-CJ55</f>
        <v/>
      </c>
      <c r="CK102" s="399">
        <f>-CK55</f>
        <v/>
      </c>
      <c r="CL102" s="399">
        <f>-CL55</f>
        <v/>
      </c>
      <c r="CM102" s="399">
        <f>-CM55</f>
        <v/>
      </c>
      <c r="CN102" s="399">
        <f>-CN55</f>
        <v/>
      </c>
      <c r="CO102" s="399">
        <f>-CO55</f>
        <v/>
      </c>
      <c r="CP102" s="399">
        <f>-CP55</f>
        <v/>
      </c>
      <c r="CQ102" s="399">
        <f>-CQ55</f>
        <v/>
      </c>
      <c r="CR102" s="399">
        <f>-CR55</f>
        <v/>
      </c>
      <c r="CS102" s="399">
        <f>-CS55</f>
        <v/>
      </c>
      <c r="CT102" s="399">
        <f>-CT55</f>
        <v/>
      </c>
      <c r="CU102" s="399">
        <f>-CU55</f>
        <v/>
      </c>
      <c r="CV102" s="399">
        <f>-CV55</f>
        <v/>
      </c>
      <c r="CW102" s="399">
        <f>-CW55</f>
        <v/>
      </c>
      <c r="CX102" s="399">
        <f>-CX55</f>
        <v/>
      </c>
      <c r="CY102" s="399">
        <f>-CY55</f>
        <v/>
      </c>
      <c r="CZ102" s="399">
        <f>-CZ55</f>
        <v/>
      </c>
      <c r="DA102" s="399">
        <f>-DA55</f>
        <v/>
      </c>
      <c r="DB102" s="399">
        <f>-DB55</f>
        <v/>
      </c>
      <c r="DC102" s="399">
        <f>-DC55</f>
        <v/>
      </c>
      <c r="DD102" s="399">
        <f>-DD55</f>
        <v/>
      </c>
      <c r="DE102" s="399">
        <f>-DE55</f>
        <v/>
      </c>
    </row>
    <row r="103" hidden="1" outlineLevel="1" ht="15" customFormat="1" customHeight="1" s="380">
      <c r="A103" s="407" t="inlineStr">
        <is>
          <t>Other (non-project)</t>
        </is>
      </c>
      <c r="B103" s="399" t="n">
        <v>0</v>
      </c>
      <c r="C103" s="399" t="n">
        <v>0</v>
      </c>
      <c r="D103" s="399" t="n">
        <v>0</v>
      </c>
      <c r="E103" s="399" t="n">
        <v>-260.53</v>
      </c>
      <c r="F103" s="399" t="n">
        <v>-200</v>
      </c>
      <c r="G103" s="399" t="n">
        <v>0</v>
      </c>
      <c r="H103" s="399" t="n">
        <v>-51.14</v>
      </c>
      <c r="I103" s="399" t="n">
        <v>0</v>
      </c>
      <c r="J103" s="399" t="n">
        <v>0</v>
      </c>
      <c r="K103" s="399" t="n">
        <v>0</v>
      </c>
      <c r="L103" s="399" t="n">
        <v>0</v>
      </c>
      <c r="M103" s="399" t="n">
        <v>0</v>
      </c>
      <c r="N103" s="399" t="n">
        <v>0</v>
      </c>
      <c r="O103" s="399" t="n">
        <v>0</v>
      </c>
      <c r="P103" s="399" t="n">
        <v>0</v>
      </c>
      <c r="Q103" s="399" t="n">
        <v>0</v>
      </c>
      <c r="R103" s="399" t="n">
        <v>0</v>
      </c>
      <c r="S103" s="399" t="n">
        <v>0</v>
      </c>
      <c r="T103" s="399" t="n">
        <v>0</v>
      </c>
      <c r="U103" s="399" t="n">
        <v>0</v>
      </c>
      <c r="V103" s="399" t="n">
        <v>0</v>
      </c>
      <c r="W103" s="399" t="n">
        <v>0</v>
      </c>
      <c r="X103" s="399" t="n">
        <v>0</v>
      </c>
      <c r="Y103" s="399" t="n">
        <v>0</v>
      </c>
      <c r="Z103" s="399" t="n">
        <v>0</v>
      </c>
      <c r="AA103" s="399" t="n">
        <v>0</v>
      </c>
      <c r="AB103" s="399" t="n">
        <v>0</v>
      </c>
      <c r="AC103" s="399" t="n">
        <v>0</v>
      </c>
      <c r="AD103" s="399" t="n">
        <v>0</v>
      </c>
      <c r="AE103" s="399" t="n">
        <v>0</v>
      </c>
      <c r="AF103" s="399" t="n">
        <v>0</v>
      </c>
      <c r="AG103" s="399" t="n">
        <v>0</v>
      </c>
      <c r="AH103" s="399" t="n">
        <v>0</v>
      </c>
      <c r="AI103" s="399" t="n">
        <v>0</v>
      </c>
      <c r="AJ103" s="399" t="n">
        <v>0</v>
      </c>
      <c r="AK103" s="399" t="n">
        <v>0</v>
      </c>
      <c r="AL103" s="399" t="n">
        <v>0</v>
      </c>
      <c r="AM103" s="399" t="n">
        <v>0</v>
      </c>
      <c r="AN103" s="399" t="n">
        <v>0</v>
      </c>
      <c r="AO103" s="399" t="n">
        <v>0</v>
      </c>
      <c r="AP103" s="399" t="n">
        <v>0</v>
      </c>
      <c r="AQ103" s="399" t="n">
        <v>0</v>
      </c>
      <c r="AR103" s="399" t="n">
        <v>0</v>
      </c>
      <c r="AS103" s="399" t="n">
        <v>0</v>
      </c>
      <c r="AT103" s="399" t="n">
        <v>0</v>
      </c>
      <c r="AU103" s="399" t="n">
        <v>0</v>
      </c>
      <c r="AV103" s="399" t="n">
        <v>0</v>
      </c>
      <c r="AW103" s="399" t="n">
        <v>0</v>
      </c>
      <c r="AX103" s="399" t="n">
        <v>0</v>
      </c>
      <c r="AY103" s="399" t="n">
        <v>0</v>
      </c>
      <c r="AZ103" s="399" t="n">
        <v>0</v>
      </c>
      <c r="BA103" s="399" t="n">
        <v>0</v>
      </c>
      <c r="BB103" s="399" t="n">
        <v>0</v>
      </c>
      <c r="BC103" s="399" t="n">
        <v>0</v>
      </c>
      <c r="BD103" s="399" t="n">
        <v>0</v>
      </c>
      <c r="BE103" s="399" t="n">
        <v>0</v>
      </c>
      <c r="BF103" s="399" t="n">
        <v>0</v>
      </c>
      <c r="BG103" s="399" t="n">
        <v>0</v>
      </c>
      <c r="BH103" s="399" t="n">
        <v>0</v>
      </c>
      <c r="BI103" s="399" t="n">
        <v>0</v>
      </c>
      <c r="BJ103" s="399" t="n">
        <v>0</v>
      </c>
      <c r="BK103" s="399" t="n">
        <v>0</v>
      </c>
      <c r="BL103" s="399" t="n">
        <v>0</v>
      </c>
      <c r="BM103" s="399" t="n">
        <v>0</v>
      </c>
      <c r="BN103" s="399" t="n">
        <v>0</v>
      </c>
      <c r="BO103" s="399" t="n">
        <v>0</v>
      </c>
      <c r="BP103" s="399" t="n">
        <v>0</v>
      </c>
      <c r="BQ103" s="399" t="n">
        <v>0</v>
      </c>
      <c r="BR103" s="399" t="n">
        <v>0</v>
      </c>
      <c r="BS103" s="399" t="n">
        <v>0</v>
      </c>
      <c r="BT103" s="399" t="n">
        <v>0</v>
      </c>
      <c r="BU103" s="399" t="n">
        <v>0</v>
      </c>
      <c r="BV103" s="399" t="n">
        <v>0</v>
      </c>
      <c r="BW103" s="399" t="n">
        <v>0</v>
      </c>
      <c r="BX103" s="399" t="n">
        <v>0</v>
      </c>
      <c r="BY103" s="399" t="n">
        <v>0</v>
      </c>
      <c r="BZ103" s="399" t="n">
        <v>0</v>
      </c>
      <c r="CA103" s="399" t="n">
        <v>0</v>
      </c>
      <c r="CB103" s="399" t="n">
        <v>0</v>
      </c>
      <c r="CC103" s="399" t="n">
        <v>0</v>
      </c>
      <c r="CD103" s="399" t="n">
        <v>0</v>
      </c>
      <c r="CE103" s="399" t="n">
        <v>0</v>
      </c>
      <c r="CF103" s="399" t="n">
        <v>0</v>
      </c>
      <c r="CG103" s="399" t="n">
        <v>0</v>
      </c>
      <c r="CH103" s="399" t="n">
        <v>0</v>
      </c>
      <c r="CI103" s="399" t="n">
        <v>0</v>
      </c>
      <c r="CJ103" s="399" t="n">
        <v>0</v>
      </c>
      <c r="CK103" s="399" t="n">
        <v>0</v>
      </c>
      <c r="CL103" s="399" t="n">
        <v>0</v>
      </c>
      <c r="CM103" s="399" t="n">
        <v>0</v>
      </c>
      <c r="CN103" s="399" t="n">
        <v>0</v>
      </c>
      <c r="CO103" s="399" t="n">
        <v>0</v>
      </c>
      <c r="CP103" s="399" t="n">
        <v>0</v>
      </c>
      <c r="CQ103" s="399" t="n">
        <v>0</v>
      </c>
      <c r="CR103" s="399" t="n">
        <v>0</v>
      </c>
      <c r="CS103" s="399" t="n">
        <v>0</v>
      </c>
      <c r="CT103" s="399" t="n">
        <v>0</v>
      </c>
      <c r="CU103" s="399" t="n">
        <v>0</v>
      </c>
      <c r="CV103" s="399" t="n">
        <v>0</v>
      </c>
      <c r="CW103" s="399" t="n">
        <v>0</v>
      </c>
      <c r="CX103" s="399" t="n">
        <v>0</v>
      </c>
      <c r="CY103" s="399" t="n">
        <v>0</v>
      </c>
      <c r="CZ103" s="399" t="n">
        <v>0</v>
      </c>
      <c r="DA103" s="399" t="n">
        <v>0</v>
      </c>
      <c r="DB103" s="399" t="n">
        <v>0</v>
      </c>
      <c r="DC103" s="399" t="n">
        <v>0</v>
      </c>
      <c r="DD103" s="399" t="n">
        <v>0</v>
      </c>
      <c r="DE103" s="399" t="n">
        <v>0</v>
      </c>
    </row>
    <row r="104" collapsed="1" ht="15" customFormat="1" customHeight="1" s="380">
      <c r="A104" s="408" t="inlineStr">
        <is>
          <t>Total COGS - Trade and Site Costs</t>
        </is>
      </c>
      <c r="B104" s="409">
        <f>SUM(B60:B103)</f>
        <v/>
      </c>
      <c r="C104" s="409">
        <f>SUM(C60:C103)</f>
        <v/>
      </c>
      <c r="D104" s="409">
        <f>SUM(D60:D103)</f>
        <v/>
      </c>
      <c r="E104" s="409">
        <f>SUM(E60:E103)</f>
        <v/>
      </c>
      <c r="F104" s="409">
        <f>SUM(F60:F103)</f>
        <v/>
      </c>
      <c r="G104" s="409">
        <f>SUM(G60:G103)</f>
        <v/>
      </c>
      <c r="H104" s="409">
        <f>SUM(H60:H103)</f>
        <v/>
      </c>
      <c r="I104" s="409">
        <f>SUM(I60:I103)</f>
        <v/>
      </c>
      <c r="J104" s="409">
        <f>SUM(J60:J103)</f>
        <v/>
      </c>
      <c r="K104" s="409">
        <f>SUM(K60:K103)</f>
        <v/>
      </c>
      <c r="L104" s="409">
        <f>SUM(L60:L103)</f>
        <v/>
      </c>
      <c r="M104" s="409">
        <f>SUM(M60:M103)</f>
        <v/>
      </c>
      <c r="N104" s="409">
        <f>SUM(N60:N103)</f>
        <v/>
      </c>
      <c r="O104" s="409">
        <f>SUM(O60:O103)</f>
        <v/>
      </c>
      <c r="P104" s="409">
        <f>SUM(P60:P103)</f>
        <v/>
      </c>
      <c r="Q104" s="409">
        <f>SUM(Q60:Q103)</f>
        <v/>
      </c>
      <c r="R104" s="409">
        <f>SUM(R60:R103)</f>
        <v/>
      </c>
      <c r="S104" s="409">
        <f>SUM(S60:S103)</f>
        <v/>
      </c>
      <c r="T104" s="409">
        <f>SUM(T60:T103)</f>
        <v/>
      </c>
      <c r="U104" s="409">
        <f>SUM(U60:U103)</f>
        <v/>
      </c>
      <c r="V104" s="409">
        <f>SUM(V60:V103)</f>
        <v/>
      </c>
      <c r="W104" s="409">
        <f>SUM(W60:W103)</f>
        <v/>
      </c>
      <c r="X104" s="409">
        <f>SUM(X60:X103)</f>
        <v/>
      </c>
      <c r="Y104" s="409">
        <f>SUM(Y60:Y103)</f>
        <v/>
      </c>
      <c r="Z104" s="409">
        <f>SUM(Z60:Z103)</f>
        <v/>
      </c>
      <c r="AA104" s="409">
        <f>SUM(AA60:AA103)</f>
        <v/>
      </c>
      <c r="AB104" s="409">
        <f>SUM(AB60:AB103)</f>
        <v/>
      </c>
      <c r="AC104" s="409">
        <f>SUM(AC60:AC103)</f>
        <v/>
      </c>
      <c r="AD104" s="409">
        <f>SUM(AD60:AD103)</f>
        <v/>
      </c>
      <c r="AE104" s="409">
        <f>SUM(AE60:AE103)</f>
        <v/>
      </c>
      <c r="AF104" s="409">
        <f>SUM(AF60:AF103)</f>
        <v/>
      </c>
      <c r="AG104" s="409">
        <f>SUM(AG60:AG103)</f>
        <v/>
      </c>
      <c r="AH104" s="409">
        <f>SUM(AH60:AH103)</f>
        <v/>
      </c>
      <c r="AI104" s="409">
        <f>SUM(AI60:AI103)</f>
        <v/>
      </c>
      <c r="AJ104" s="409">
        <f>SUM(AJ60:AJ103)</f>
        <v/>
      </c>
      <c r="AK104" s="409">
        <f>SUM(AK60:AK103)</f>
        <v/>
      </c>
      <c r="AL104" s="409">
        <f>SUM(AL60:AL103)</f>
        <v/>
      </c>
      <c r="AM104" s="409">
        <f>SUM(AM60:AM103)</f>
        <v/>
      </c>
      <c r="AN104" s="409">
        <f>SUM(AN60:AN103)</f>
        <v/>
      </c>
      <c r="AO104" s="409">
        <f>SUM(AO60:AO103)</f>
        <v/>
      </c>
      <c r="AP104" s="409">
        <f>SUM(AP60:AP103)</f>
        <v/>
      </c>
      <c r="AQ104" s="409">
        <f>SUM(AQ60:AQ103)</f>
        <v/>
      </c>
      <c r="AR104" s="409">
        <f>SUM(AR60:AR103)</f>
        <v/>
      </c>
      <c r="AS104" s="409">
        <f>SUM(AS60:AS103)</f>
        <v/>
      </c>
      <c r="AT104" s="409">
        <f>SUM(AT60:AT103)</f>
        <v/>
      </c>
      <c r="AU104" s="409">
        <f>SUM(AU60:AU103)</f>
        <v/>
      </c>
      <c r="AV104" s="409">
        <f>SUM(AV60:AV103)</f>
        <v/>
      </c>
      <c r="AW104" s="409">
        <f>SUM(AW60:AW103)</f>
        <v/>
      </c>
      <c r="AX104" s="409">
        <f>SUM(AX60:AX103)</f>
        <v/>
      </c>
      <c r="AY104" s="409">
        <f>SUM(AY60:AY103)</f>
        <v/>
      </c>
      <c r="AZ104" s="409">
        <f>SUM(AZ60:AZ103)</f>
        <v/>
      </c>
      <c r="BA104" s="409">
        <f>SUM(BA60:BA103)</f>
        <v/>
      </c>
      <c r="BB104" s="409">
        <f>SUM(BB60:BB103)</f>
        <v/>
      </c>
      <c r="BC104" s="409">
        <f>SUM(BC60:BC103)</f>
        <v/>
      </c>
      <c r="BD104" s="409">
        <f>SUM(BD60:BD103)</f>
        <v/>
      </c>
      <c r="BE104" s="409">
        <f>SUM(BE60:BE103)</f>
        <v/>
      </c>
      <c r="BF104" s="409">
        <f>SUM(BF60:BF103)</f>
        <v/>
      </c>
      <c r="BG104" s="409">
        <f>SUM(BG60:BG103)</f>
        <v/>
      </c>
      <c r="BH104" s="409">
        <f>SUM(BH60:BH103)</f>
        <v/>
      </c>
      <c r="BI104" s="409">
        <f>SUM(BI60:BI103)</f>
        <v/>
      </c>
      <c r="BJ104" s="409">
        <f>SUM(BJ60:BJ103)</f>
        <v/>
      </c>
      <c r="BK104" s="409">
        <f>SUM(BK60:BK103)</f>
        <v/>
      </c>
      <c r="BL104" s="409">
        <f>SUM(BL60:BL103)</f>
        <v/>
      </c>
      <c r="BM104" s="409">
        <f>SUM(BM60:BM103)</f>
        <v/>
      </c>
      <c r="BN104" s="409">
        <f>SUM(BN60:BN103)</f>
        <v/>
      </c>
      <c r="BO104" s="409">
        <f>SUM(BO60:BO103)</f>
        <v/>
      </c>
      <c r="BP104" s="409">
        <f>SUM(BP60:BP103)</f>
        <v/>
      </c>
      <c r="BQ104" s="409">
        <f>SUM(BQ60:BQ103)</f>
        <v/>
      </c>
      <c r="BR104" s="409">
        <f>SUM(BR60:BR103)</f>
        <v/>
      </c>
      <c r="BS104" s="409">
        <f>SUM(BS60:BS103)</f>
        <v/>
      </c>
      <c r="BT104" s="409">
        <f>SUM(BT60:BT103)</f>
        <v/>
      </c>
      <c r="BU104" s="409">
        <f>SUM(BU60:BU103)</f>
        <v/>
      </c>
      <c r="BV104" s="409">
        <f>SUM(BV60:BV103)</f>
        <v/>
      </c>
      <c r="BW104" s="409">
        <f>SUM(BW60:BW103)</f>
        <v/>
      </c>
      <c r="BX104" s="409">
        <f>SUM(BX60:BX103)</f>
        <v/>
      </c>
      <c r="BY104" s="409">
        <f>SUM(BY60:BY103)</f>
        <v/>
      </c>
      <c r="BZ104" s="409">
        <f>SUM(BZ60:BZ103)</f>
        <v/>
      </c>
      <c r="CA104" s="409">
        <f>SUM(CA60:CA103)</f>
        <v/>
      </c>
      <c r="CB104" s="409">
        <f>SUM(CB60:CB103)</f>
        <v/>
      </c>
      <c r="CC104" s="409">
        <f>SUM(CC60:CC103)</f>
        <v/>
      </c>
      <c r="CD104" s="409">
        <f>SUM(CD60:CD103)</f>
        <v/>
      </c>
      <c r="CE104" s="409">
        <f>SUM(CE60:CE103)</f>
        <v/>
      </c>
      <c r="CF104" s="409">
        <f>SUM(CF60:CF103)</f>
        <v/>
      </c>
      <c r="CG104" s="409">
        <f>SUM(CG60:CG103)</f>
        <v/>
      </c>
      <c r="CH104" s="409">
        <f>SUM(CH60:CH103)</f>
        <v/>
      </c>
      <c r="CI104" s="409">
        <f>SUM(CI60:CI103)</f>
        <v/>
      </c>
      <c r="CJ104" s="409">
        <f>SUM(CJ60:CJ103)</f>
        <v/>
      </c>
      <c r="CK104" s="409">
        <f>SUM(CK60:CK103)</f>
        <v/>
      </c>
      <c r="CL104" s="409">
        <f>SUM(CL60:CL103)</f>
        <v/>
      </c>
      <c r="CM104" s="409">
        <f>SUM(CM60:CM103)</f>
        <v/>
      </c>
      <c r="CN104" s="409">
        <f>SUM(CN60:CN103)</f>
        <v/>
      </c>
      <c r="CO104" s="409">
        <f>SUM(CO60:CO103)</f>
        <v/>
      </c>
      <c r="CP104" s="409">
        <f>SUM(CP60:CP103)</f>
        <v/>
      </c>
      <c r="CQ104" s="409">
        <f>SUM(CQ60:CQ103)</f>
        <v/>
      </c>
      <c r="CR104" s="409">
        <f>SUM(CR60:CR103)</f>
        <v/>
      </c>
      <c r="CS104" s="409">
        <f>SUM(CS60:CS103)</f>
        <v/>
      </c>
      <c r="CT104" s="409">
        <f>SUM(CT60:CT103)</f>
        <v/>
      </c>
      <c r="CU104" s="409">
        <f>SUM(CU60:CU103)</f>
        <v/>
      </c>
      <c r="CV104" s="409">
        <f>SUM(CV60:CV103)</f>
        <v/>
      </c>
      <c r="CW104" s="409">
        <f>SUM(CW60:CW103)</f>
        <v/>
      </c>
      <c r="CX104" s="409">
        <f>SUM(CX60:CX103)</f>
        <v/>
      </c>
      <c r="CY104" s="409">
        <f>SUM(CY60:CY103)</f>
        <v/>
      </c>
      <c r="CZ104" s="409">
        <f>SUM(CZ60:CZ103)</f>
        <v/>
      </c>
      <c r="DA104" s="409">
        <f>SUM(DA60:DA103)</f>
        <v/>
      </c>
      <c r="DB104" s="409">
        <f>SUM(DB60:DB103)</f>
        <v/>
      </c>
      <c r="DC104" s="409">
        <f>SUM(DC60:DC103)</f>
        <v/>
      </c>
      <c r="DD104" s="409">
        <f>SUM(DD60:DD103)</f>
        <v/>
      </c>
      <c r="DE104" s="409">
        <f>SUM(DE60:DE103)</f>
        <v/>
      </c>
    </row>
    <row r="105" ht="15" customFormat="1" customHeight="1" s="380">
      <c r="A105" s="397" t="inlineStr">
        <is>
          <t>Bonding Revenue</t>
        </is>
      </c>
      <c r="B105" s="392">
        <f>IF(ISBLANK(Actuals!C15),0,Actuals!C15)</f>
        <v/>
      </c>
      <c r="C105" s="392">
        <f>IF(ISBLANK(Actuals!D15),0,Actuals!D15)</f>
        <v/>
      </c>
      <c r="D105" s="392">
        <f>IF(ISBLANK(Actuals!E15),0,Actuals!E15)</f>
        <v/>
      </c>
      <c r="E105" s="392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2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2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2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2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2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2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2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2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2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2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2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2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2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2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2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2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2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2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2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2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2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2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2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2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2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2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2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2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2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2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2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2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2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2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2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2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2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2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2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2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2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2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2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2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2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2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2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2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2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2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2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2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2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2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2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2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2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2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2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2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2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2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2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2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2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2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2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2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2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2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2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2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2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2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2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2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2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2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2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2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2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2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2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2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2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2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2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2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2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2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2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2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2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2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2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2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2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2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2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2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2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2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2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2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Format="1" customHeight="1" s="380">
      <c r="A106" s="397" t="inlineStr">
        <is>
          <t>Bonding Costs</t>
        </is>
      </c>
      <c r="B106" s="392">
        <f>IF(ISBLANK(Actuals!C16),0,Actuals!C16)</f>
        <v/>
      </c>
      <c r="C106" s="392">
        <f>IF(ISBLANK(Actuals!D16),0,Actuals!D16)</f>
        <v/>
      </c>
      <c r="D106" s="392">
        <f>IF(ISBLANK(Actuals!E16),0,Actuals!E16)</f>
        <v/>
      </c>
      <c r="E106" s="392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2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2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2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2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2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2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2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2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2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2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2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2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2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2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2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2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2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2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2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2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2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2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2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2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2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2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2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2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2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2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2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2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2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2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2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2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2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2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2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2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2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2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2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2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2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2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2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2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2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2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2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2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2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2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2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2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2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2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2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2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2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2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2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2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2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2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2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2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2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2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2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2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2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2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2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2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2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2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2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2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2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2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2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2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2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2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2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2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2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2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2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2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2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2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2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2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2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2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2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2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2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2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2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2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410">
      <c r="A107" s="397" t="inlineStr">
        <is>
          <t>Trade Cost True-Up (LIHTC pass-through)</t>
        </is>
      </c>
      <c r="B107" s="392">
        <f>IF(B$3&lt;5,0,-SUMPRODUCT('Deal Terms'!$D$4:$D$47,B$13:B$56+B$60:B$103))</f>
        <v/>
      </c>
      <c r="C107" s="392">
        <f>IF(C$3&lt;5,0,-SUMPRODUCT('Deal Terms'!$D$4:$D$47,C$13:C$56+C$60:C$103))</f>
        <v/>
      </c>
      <c r="D107" s="392">
        <f>IF(D$3&lt;5,0,-SUMPRODUCT('Deal Terms'!$D$4:$D$47,D$13:D$56+D$60:D$103))</f>
        <v/>
      </c>
      <c r="E107" s="392">
        <f>IF(E$3&lt;5,0,-SUMPRODUCT('Deal Terms'!$D$4:$D$47,E$13:E$56+E$60:E$103))</f>
        <v/>
      </c>
      <c r="F107" s="392">
        <f>IF(F$3&lt;5,0,-SUMPRODUCT('Deal Terms'!$D$4:$D$47,F$13:F$56+F$60:F$103))</f>
        <v/>
      </c>
      <c r="G107" s="392">
        <f>IF(G$3&lt;5,0,-SUMPRODUCT('Deal Terms'!$D$4:$D$47,G$13:G$56+G$60:G$103))</f>
        <v/>
      </c>
      <c r="H107" s="392">
        <f>IF(H$3&lt;5,0,-SUMPRODUCT('Deal Terms'!$D$4:$D$47,H$13:H$56+H$60:H$103))</f>
        <v/>
      </c>
      <c r="I107" s="392">
        <f>IF(I$3&lt;5,0,-SUMPRODUCT('Deal Terms'!$D$4:$D$47,I$13:I$56+I$60:I$103))</f>
        <v/>
      </c>
      <c r="J107" s="392">
        <f>IF(J$3&lt;5,0,-SUMPRODUCT('Deal Terms'!$D$4:$D$47,J$13:J$56+J$60:J$103))</f>
        <v/>
      </c>
      <c r="K107" s="392">
        <f>IF(K$3&lt;5,0,-SUMPRODUCT('Deal Terms'!$D$4:$D$47,K$13:K$56+K$60:K$103))</f>
        <v/>
      </c>
      <c r="L107" s="392">
        <f>IF(L$3&lt;5,0,-SUMPRODUCT('Deal Terms'!$D$4:$D$47,L$13:L$56+L$60:L$103))</f>
        <v/>
      </c>
      <c r="M107" s="392">
        <f>IF(M$3&lt;5,0,-SUMPRODUCT('Deal Terms'!$D$4:$D$47,M$13:M$56+M$60:M$103))</f>
        <v/>
      </c>
      <c r="N107" s="392">
        <f>IF(N$3&lt;5,0,-SUMPRODUCT('Deal Terms'!$D$4:$D$47,N$13:N$56+N$60:N$103))</f>
        <v/>
      </c>
      <c r="O107" s="392">
        <f>IF(O$3&lt;5,0,-SUMPRODUCT('Deal Terms'!$D$4:$D$47,O$13:O$56+O$60:O$103))</f>
        <v/>
      </c>
      <c r="P107" s="392">
        <f>IF(P$3&lt;5,0,-SUMPRODUCT('Deal Terms'!$D$4:$D$47,P$13:P$56+P$60:P$103))</f>
        <v/>
      </c>
      <c r="Q107" s="392">
        <f>IF(Q$3&lt;5,0,-SUMPRODUCT('Deal Terms'!$D$4:$D$47,Q$13:Q$56+Q$60:Q$103))</f>
        <v/>
      </c>
      <c r="R107" s="392">
        <f>IF(R$3&lt;5,0,-SUMPRODUCT('Deal Terms'!$D$4:$D$47,R$13:R$56+R$60:R$103))</f>
        <v/>
      </c>
      <c r="S107" s="392">
        <f>IF(S$3&lt;5,0,-SUMPRODUCT('Deal Terms'!$D$4:$D$47,S$13:S$56+S$60:S$103))</f>
        <v/>
      </c>
      <c r="T107" s="392">
        <f>IF(T$3&lt;5,0,-SUMPRODUCT('Deal Terms'!$D$4:$D$47,T$13:T$56+T$60:T$103))</f>
        <v/>
      </c>
      <c r="U107" s="392">
        <f>IF(U$3&lt;5,0,-SUMPRODUCT('Deal Terms'!$D$4:$D$47,U$13:U$56+U$60:U$103))</f>
        <v/>
      </c>
      <c r="V107" s="392">
        <f>IF(V$3&lt;5,0,-SUMPRODUCT('Deal Terms'!$D$4:$D$47,V$13:V$56+V$60:V$103))</f>
        <v/>
      </c>
      <c r="W107" s="392">
        <f>IF(W$3&lt;5,0,-SUMPRODUCT('Deal Terms'!$D$4:$D$47,W$13:W$56+W$60:W$103))</f>
        <v/>
      </c>
      <c r="X107" s="392">
        <f>IF(X$3&lt;5,0,-SUMPRODUCT('Deal Terms'!$D$4:$D$47,X$13:X$56+X$60:X$103))</f>
        <v/>
      </c>
      <c r="Y107" s="392">
        <f>IF(Y$3&lt;5,0,-SUMPRODUCT('Deal Terms'!$D$4:$D$47,Y$13:Y$56+Y$60:Y$103))</f>
        <v/>
      </c>
      <c r="Z107" s="392">
        <f>IF(Z$3&lt;5,0,-SUMPRODUCT('Deal Terms'!$D$4:$D$47,Z$13:Z$56+Z$60:Z$103))</f>
        <v/>
      </c>
      <c r="AA107" s="392">
        <f>IF(AA$3&lt;5,0,-SUMPRODUCT('Deal Terms'!$D$4:$D$47,AA$13:AA$56+AA$60:AA$103))</f>
        <v/>
      </c>
      <c r="AB107" s="392">
        <f>IF(AB$3&lt;5,0,-SUMPRODUCT('Deal Terms'!$D$4:$D$47,AB$13:AB$56+AB$60:AB$103))</f>
        <v/>
      </c>
      <c r="AC107" s="392">
        <f>IF(AC$3&lt;5,0,-SUMPRODUCT('Deal Terms'!$D$4:$D$47,AC$13:AC$56+AC$60:AC$103))</f>
        <v/>
      </c>
      <c r="AD107" s="392">
        <f>IF(AD$3&lt;5,0,-SUMPRODUCT('Deal Terms'!$D$4:$D$47,AD$13:AD$56+AD$60:AD$103))</f>
        <v/>
      </c>
      <c r="AE107" s="392">
        <f>IF(AE$3&lt;5,0,-SUMPRODUCT('Deal Terms'!$D$4:$D$47,AE$13:AE$56+AE$60:AE$103))</f>
        <v/>
      </c>
      <c r="AF107" s="392">
        <f>IF(AF$3&lt;5,0,-SUMPRODUCT('Deal Terms'!$D$4:$D$47,AF$13:AF$56+AF$60:AF$103))</f>
        <v/>
      </c>
      <c r="AG107" s="392">
        <f>IF(AG$3&lt;5,0,-SUMPRODUCT('Deal Terms'!$D$4:$D$47,AG$13:AG$56+AG$60:AG$103))</f>
        <v/>
      </c>
      <c r="AH107" s="392">
        <f>IF(AH$3&lt;5,0,-SUMPRODUCT('Deal Terms'!$D$4:$D$47,AH$13:AH$56+AH$60:AH$103))</f>
        <v/>
      </c>
      <c r="AI107" s="392">
        <f>IF(AI$3&lt;5,0,-SUMPRODUCT('Deal Terms'!$D$4:$D$47,AI$13:AI$56+AI$60:AI$103))</f>
        <v/>
      </c>
      <c r="AJ107" s="392">
        <f>IF(AJ$3&lt;5,0,-SUMPRODUCT('Deal Terms'!$D$4:$D$47,AJ$13:AJ$56+AJ$60:AJ$103))</f>
        <v/>
      </c>
      <c r="AK107" s="392">
        <f>IF(AK$3&lt;5,0,-SUMPRODUCT('Deal Terms'!$D$4:$D$47,AK$13:AK$56+AK$60:AK$103))</f>
        <v/>
      </c>
      <c r="AL107" s="392">
        <f>IF(AL$3&lt;5,0,-SUMPRODUCT('Deal Terms'!$D$4:$D$47,AL$13:AL$56+AL$60:AL$103))</f>
        <v/>
      </c>
      <c r="AM107" s="392">
        <f>IF(AM$3&lt;5,0,-SUMPRODUCT('Deal Terms'!$D$4:$D$47,AM$13:AM$56+AM$60:AM$103))</f>
        <v/>
      </c>
      <c r="AN107" s="392">
        <f>IF(AN$3&lt;5,0,-SUMPRODUCT('Deal Terms'!$D$4:$D$47,AN$13:AN$56+AN$60:AN$103))</f>
        <v/>
      </c>
      <c r="AO107" s="392">
        <f>IF(AO$3&lt;5,0,-SUMPRODUCT('Deal Terms'!$D$4:$D$47,AO$13:AO$56+AO$60:AO$103))</f>
        <v/>
      </c>
      <c r="AP107" s="392">
        <f>IF(AP$3&lt;5,0,-SUMPRODUCT('Deal Terms'!$D$4:$D$47,AP$13:AP$56+AP$60:AP$103))</f>
        <v/>
      </c>
      <c r="AQ107" s="392">
        <f>IF(AQ$3&lt;5,0,-SUMPRODUCT('Deal Terms'!$D$4:$D$47,AQ$13:AQ$56+AQ$60:AQ$103))</f>
        <v/>
      </c>
      <c r="AR107" s="392">
        <f>IF(AR$3&lt;5,0,-SUMPRODUCT('Deal Terms'!$D$4:$D$47,AR$13:AR$56+AR$60:AR$103))</f>
        <v/>
      </c>
      <c r="AS107" s="392">
        <f>IF(AS$3&lt;5,0,-SUMPRODUCT('Deal Terms'!$D$4:$D$47,AS$13:AS$56+AS$60:AS$103))</f>
        <v/>
      </c>
      <c r="AT107" s="392">
        <f>IF(AT$3&lt;5,0,-SUMPRODUCT('Deal Terms'!$D$4:$D$47,AT$13:AT$56+AT$60:AT$103))</f>
        <v/>
      </c>
      <c r="AU107" s="392">
        <f>IF(AU$3&lt;5,0,-SUMPRODUCT('Deal Terms'!$D$4:$D$47,AU$13:AU$56+AU$60:AU$103))</f>
        <v/>
      </c>
      <c r="AV107" s="392">
        <f>IF(AV$3&lt;5,0,-SUMPRODUCT('Deal Terms'!$D$4:$D$47,AV$13:AV$56+AV$60:AV$103))</f>
        <v/>
      </c>
      <c r="AW107" s="392">
        <f>IF(AW$3&lt;5,0,-SUMPRODUCT('Deal Terms'!$D$4:$D$47,AW$13:AW$56+AW$60:AW$103))</f>
        <v/>
      </c>
      <c r="AX107" s="392">
        <f>IF(AX$3&lt;5,0,-SUMPRODUCT('Deal Terms'!$D$4:$D$47,AX$13:AX$56+AX$60:AX$103))</f>
        <v/>
      </c>
      <c r="AY107" s="392">
        <f>IF(AY$3&lt;5,0,-SUMPRODUCT('Deal Terms'!$D$4:$D$47,AY$13:AY$56+AY$60:AY$103))</f>
        <v/>
      </c>
      <c r="AZ107" s="392">
        <f>IF(AZ$3&lt;5,0,-SUMPRODUCT('Deal Terms'!$D$4:$D$47,AZ$13:AZ$56+AZ$60:AZ$103))</f>
        <v/>
      </c>
      <c r="BA107" s="392">
        <f>IF(BA$3&lt;5,0,-SUMPRODUCT('Deal Terms'!$D$4:$D$47,BA$13:BA$56+BA$60:BA$103))</f>
        <v/>
      </c>
      <c r="BB107" s="392">
        <f>IF(BB$3&lt;5,0,-SUMPRODUCT('Deal Terms'!$D$4:$D$47,BB$13:BB$56+BB$60:BB$103))</f>
        <v/>
      </c>
      <c r="BC107" s="392">
        <f>IF(BC$3&lt;5,0,-SUMPRODUCT('Deal Terms'!$D$4:$D$47,BC$13:BC$56+BC$60:BC$103))</f>
        <v/>
      </c>
      <c r="BD107" s="392">
        <f>IF(BD$3&lt;5,0,-SUMPRODUCT('Deal Terms'!$D$4:$D$47,BD$13:BD$56+BD$60:BD$103))</f>
        <v/>
      </c>
      <c r="BE107" s="392">
        <f>IF(BE$3&lt;5,0,-SUMPRODUCT('Deal Terms'!$D$4:$D$47,BE$13:BE$56+BE$60:BE$103))</f>
        <v/>
      </c>
      <c r="BF107" s="392">
        <f>IF(BF$3&lt;5,0,-SUMPRODUCT('Deal Terms'!$D$4:$D$47,BF$13:BF$56+BF$60:BF$103))</f>
        <v/>
      </c>
      <c r="BG107" s="392">
        <f>IF(BG$3&lt;5,0,-SUMPRODUCT('Deal Terms'!$D$4:$D$47,BG$13:BG$56+BG$60:BG$103))</f>
        <v/>
      </c>
      <c r="BH107" s="392">
        <f>IF(BH$3&lt;5,0,-SUMPRODUCT('Deal Terms'!$D$4:$D$47,BH$13:BH$56+BH$60:BH$103))</f>
        <v/>
      </c>
      <c r="BI107" s="392">
        <f>IF(BI$3&lt;5,0,-SUMPRODUCT('Deal Terms'!$D$4:$D$47,BI$13:BI$56+BI$60:BI$103))</f>
        <v/>
      </c>
      <c r="BJ107" s="392">
        <f>IF(BJ$3&lt;5,0,-SUMPRODUCT('Deal Terms'!$D$4:$D$47,BJ$13:BJ$56+BJ$60:BJ$103))</f>
        <v/>
      </c>
      <c r="BK107" s="392">
        <f>IF(BK$3&lt;5,0,-SUMPRODUCT('Deal Terms'!$D$4:$D$47,BK$13:BK$56+BK$60:BK$103))</f>
        <v/>
      </c>
      <c r="BL107" s="392">
        <f>IF(BL$3&lt;5,0,-SUMPRODUCT('Deal Terms'!$D$4:$D$47,BL$13:BL$56+BL$60:BL$103))</f>
        <v/>
      </c>
      <c r="BM107" s="392">
        <f>IF(BM$3&lt;5,0,-SUMPRODUCT('Deal Terms'!$D$4:$D$47,BM$13:BM$56+BM$60:BM$103))</f>
        <v/>
      </c>
      <c r="BN107" s="392">
        <f>IF(BN$3&lt;5,0,-SUMPRODUCT('Deal Terms'!$D$4:$D$47,BN$13:BN$56+BN$60:BN$103))</f>
        <v/>
      </c>
      <c r="BO107" s="392">
        <f>IF(BO$3&lt;5,0,-SUMPRODUCT('Deal Terms'!$D$4:$D$47,BO$13:BO$56+BO$60:BO$103))</f>
        <v/>
      </c>
      <c r="BP107" s="392">
        <f>IF(BP$3&lt;5,0,-SUMPRODUCT('Deal Terms'!$D$4:$D$47,BP$13:BP$56+BP$60:BP$103))</f>
        <v/>
      </c>
      <c r="BQ107" s="392">
        <f>IF(BQ$3&lt;5,0,-SUMPRODUCT('Deal Terms'!$D$4:$D$47,BQ$13:BQ$56+BQ$60:BQ$103))</f>
        <v/>
      </c>
      <c r="BR107" s="392">
        <f>IF(BR$3&lt;5,0,-SUMPRODUCT('Deal Terms'!$D$4:$D$47,BR$13:BR$56+BR$60:BR$103))</f>
        <v/>
      </c>
      <c r="BS107" s="392">
        <f>IF(BS$3&lt;5,0,-SUMPRODUCT('Deal Terms'!$D$4:$D$47,BS$13:BS$56+BS$60:BS$103))</f>
        <v/>
      </c>
      <c r="BT107" s="392">
        <f>IF(BT$3&lt;5,0,-SUMPRODUCT('Deal Terms'!$D$4:$D$47,BT$13:BT$56+BT$60:BT$103))</f>
        <v/>
      </c>
      <c r="BU107" s="392">
        <f>IF(BU$3&lt;5,0,-SUMPRODUCT('Deal Terms'!$D$4:$D$47,BU$13:BU$56+BU$60:BU$103))</f>
        <v/>
      </c>
      <c r="BV107" s="392">
        <f>IF(BV$3&lt;5,0,-SUMPRODUCT('Deal Terms'!$D$4:$D$47,BV$13:BV$56+BV$60:BV$103))</f>
        <v/>
      </c>
      <c r="BW107" s="392">
        <f>IF(BW$3&lt;5,0,-SUMPRODUCT('Deal Terms'!$D$4:$D$47,BW$13:BW$56+BW$60:BW$103))</f>
        <v/>
      </c>
      <c r="BX107" s="392">
        <f>IF(BX$3&lt;5,0,-SUMPRODUCT('Deal Terms'!$D$4:$D$47,BX$13:BX$56+BX$60:BX$103))</f>
        <v/>
      </c>
      <c r="BY107" s="392">
        <f>IF(BY$3&lt;5,0,-SUMPRODUCT('Deal Terms'!$D$4:$D$47,BY$13:BY$56+BY$60:BY$103))</f>
        <v/>
      </c>
      <c r="BZ107" s="392">
        <f>IF(BZ$3&lt;5,0,-SUMPRODUCT('Deal Terms'!$D$4:$D$47,BZ$13:BZ$56+BZ$60:BZ$103))</f>
        <v/>
      </c>
      <c r="CA107" s="392">
        <f>IF(CA$3&lt;5,0,-SUMPRODUCT('Deal Terms'!$D$4:$D$47,CA$13:CA$56+CA$60:CA$103))</f>
        <v/>
      </c>
      <c r="CB107" s="392">
        <f>IF(CB$3&lt;5,0,-SUMPRODUCT('Deal Terms'!$D$4:$D$47,CB$13:CB$56+CB$60:CB$103))</f>
        <v/>
      </c>
      <c r="CC107" s="392">
        <f>IF(CC$3&lt;5,0,-SUMPRODUCT('Deal Terms'!$D$4:$D$47,CC$13:CC$56+CC$60:CC$103))</f>
        <v/>
      </c>
      <c r="CD107" s="392">
        <f>IF(CD$3&lt;5,0,-SUMPRODUCT('Deal Terms'!$D$4:$D$47,CD$13:CD$56+CD$60:CD$103))</f>
        <v/>
      </c>
      <c r="CE107" s="392">
        <f>IF(CE$3&lt;5,0,-SUMPRODUCT('Deal Terms'!$D$4:$D$47,CE$13:CE$56+CE$60:CE$103))</f>
        <v/>
      </c>
      <c r="CF107" s="392">
        <f>IF(CF$3&lt;5,0,-SUMPRODUCT('Deal Terms'!$D$4:$D$47,CF$13:CF$56+CF$60:CF$103))</f>
        <v/>
      </c>
      <c r="CG107" s="392">
        <f>IF(CG$3&lt;5,0,-SUMPRODUCT('Deal Terms'!$D$4:$D$47,CG$13:CG$56+CG$60:CG$103))</f>
        <v/>
      </c>
      <c r="CH107" s="392">
        <f>IF(CH$3&lt;5,0,-SUMPRODUCT('Deal Terms'!$D$4:$D$47,CH$13:CH$56+CH$60:CH$103))</f>
        <v/>
      </c>
      <c r="CI107" s="392">
        <f>IF(CI$3&lt;5,0,-SUMPRODUCT('Deal Terms'!$D$4:$D$47,CI$13:CI$56+CI$60:CI$103))</f>
        <v/>
      </c>
      <c r="CJ107" s="392">
        <f>IF(CJ$3&lt;5,0,-SUMPRODUCT('Deal Terms'!$D$4:$D$47,CJ$13:CJ$56+CJ$60:CJ$103))</f>
        <v/>
      </c>
      <c r="CK107" s="392">
        <f>IF(CK$3&lt;5,0,-SUMPRODUCT('Deal Terms'!$D$4:$D$47,CK$13:CK$56+CK$60:CK$103))</f>
        <v/>
      </c>
      <c r="CL107" s="392">
        <f>IF(CL$3&lt;5,0,-SUMPRODUCT('Deal Terms'!$D$4:$D$47,CL$13:CL$56+CL$60:CL$103))</f>
        <v/>
      </c>
      <c r="CM107" s="392">
        <f>IF(CM$3&lt;5,0,-SUMPRODUCT('Deal Terms'!$D$4:$D$47,CM$13:CM$56+CM$60:CM$103))</f>
        <v/>
      </c>
      <c r="CN107" s="392">
        <f>IF(CN$3&lt;5,0,-SUMPRODUCT('Deal Terms'!$D$4:$D$47,CN$13:CN$56+CN$60:CN$103))</f>
        <v/>
      </c>
      <c r="CO107" s="392">
        <f>IF(CO$3&lt;5,0,-SUMPRODUCT('Deal Terms'!$D$4:$D$47,CO$13:CO$56+CO$60:CO$103))</f>
        <v/>
      </c>
      <c r="CP107" s="392">
        <f>IF(CP$3&lt;5,0,-SUMPRODUCT('Deal Terms'!$D$4:$D$47,CP$13:CP$56+CP$60:CP$103))</f>
        <v/>
      </c>
      <c r="CQ107" s="392">
        <f>IF(CQ$3&lt;5,0,-SUMPRODUCT('Deal Terms'!$D$4:$D$47,CQ$13:CQ$56+CQ$60:CQ$103))</f>
        <v/>
      </c>
      <c r="CR107" s="392">
        <f>IF(CR$3&lt;5,0,-SUMPRODUCT('Deal Terms'!$D$4:$D$47,CR$13:CR$56+CR$60:CR$103))</f>
        <v/>
      </c>
      <c r="CS107" s="392">
        <f>IF(CS$3&lt;5,0,-SUMPRODUCT('Deal Terms'!$D$4:$D$47,CS$13:CS$56+CS$60:CS$103))</f>
        <v/>
      </c>
      <c r="CT107" s="392">
        <f>IF(CT$3&lt;5,0,-SUMPRODUCT('Deal Terms'!$D$4:$D$47,CT$13:CT$56+CT$60:CT$103))</f>
        <v/>
      </c>
      <c r="CU107" s="392">
        <f>IF(CU$3&lt;5,0,-SUMPRODUCT('Deal Terms'!$D$4:$D$47,CU$13:CU$56+CU$60:CU$103))</f>
        <v/>
      </c>
      <c r="CV107" s="392">
        <f>IF(CV$3&lt;5,0,-SUMPRODUCT('Deal Terms'!$D$4:$D$47,CV$13:CV$56+CV$60:CV$103))</f>
        <v/>
      </c>
      <c r="CW107" s="392">
        <f>IF(CW$3&lt;5,0,-SUMPRODUCT('Deal Terms'!$D$4:$D$47,CW$13:CW$56+CW$60:CW$103))</f>
        <v/>
      </c>
      <c r="CX107" s="392">
        <f>IF(CX$3&lt;5,0,-SUMPRODUCT('Deal Terms'!$D$4:$D$47,CX$13:CX$56+CX$60:CX$103))</f>
        <v/>
      </c>
      <c r="CY107" s="392">
        <f>IF(CY$3&lt;5,0,-SUMPRODUCT('Deal Terms'!$D$4:$D$47,CY$13:CY$56+CY$60:CY$103))</f>
        <v/>
      </c>
      <c r="CZ107" s="392">
        <f>IF(CZ$3&lt;5,0,-SUMPRODUCT('Deal Terms'!$D$4:$D$47,CZ$13:CZ$56+CZ$60:CZ$103))</f>
        <v/>
      </c>
      <c r="DA107" s="392">
        <f>IF(DA$3&lt;5,0,-SUMPRODUCT('Deal Terms'!$D$4:$D$47,DA$13:DA$56+DA$60:DA$103))</f>
        <v/>
      </c>
      <c r="DB107" s="392">
        <f>IF(DB$3&lt;5,0,-SUMPRODUCT('Deal Terms'!$D$4:$D$47,DB$13:DB$56+DB$60:DB$103))</f>
        <v/>
      </c>
      <c r="DC107" s="392">
        <f>IF(DC$3&lt;5,0,-SUMPRODUCT('Deal Terms'!$D$4:$D$47,DC$13:DC$56+DC$60:DC$103))</f>
        <v/>
      </c>
      <c r="DD107" s="392">
        <f>IF(DD$3&lt;5,0,-SUMPRODUCT('Deal Terms'!$D$4:$D$47,DD$13:DD$56+DD$60:DD$103))</f>
        <v/>
      </c>
      <c r="DE107" s="392">
        <f>IF(DE$3&lt;5,0,-SUMPRODUCT('Deal Terms'!$D$4:$D$47,DE$13:DE$56+DE$60:DE$103))</f>
        <v/>
      </c>
    </row>
    <row r="108" ht="15" customHeight="1" s="410">
      <c r="A108" s="397" t="inlineStr">
        <is>
          <t>Buyout Savings - LV Share</t>
        </is>
      </c>
      <c r="B108" s="392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2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2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2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2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2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2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2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2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2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2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2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2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2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2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2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2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2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2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2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2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2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2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2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2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2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2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2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2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2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2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2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2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2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2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2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2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2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2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2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2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2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2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2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2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2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2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2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2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2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2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2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2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2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2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2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2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2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2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2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2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2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2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2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2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2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2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2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2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2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2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2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2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2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2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2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2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2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2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2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2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2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2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2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2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2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2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2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2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2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2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2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2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2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2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2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2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2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2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2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2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2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2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2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2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2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2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2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Format="1" customHeight="1" s="380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Format="1" customHeight="1" s="380">
      <c r="A110" s="397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Format="1" customHeight="1" s="380">
      <c r="A111" s="382" t="n"/>
      <c r="B111" s="392" t="n"/>
      <c r="C111" s="392" t="n"/>
      <c r="D111" s="392" t="n"/>
      <c r="E111" s="392" t="n"/>
      <c r="F111" s="392" t="n"/>
      <c r="G111" s="392" t="n"/>
      <c r="H111" s="392" t="n"/>
      <c r="I111" s="392" t="n"/>
      <c r="J111" s="392" t="n"/>
      <c r="K111" s="392" t="n"/>
      <c r="L111" s="392" t="n"/>
      <c r="M111" s="392" t="n"/>
      <c r="N111" s="392" t="n"/>
      <c r="O111" s="392" t="n"/>
      <c r="P111" s="392" t="n"/>
      <c r="Q111" s="392" t="n"/>
      <c r="R111" s="392" t="n"/>
      <c r="S111" s="392" t="n"/>
      <c r="T111" s="392" t="n"/>
      <c r="U111" s="392" t="n"/>
      <c r="V111" s="392" t="n"/>
      <c r="W111" s="392" t="n"/>
      <c r="X111" s="392" t="n"/>
      <c r="Y111" s="392" t="n"/>
      <c r="Z111" s="392" t="n"/>
      <c r="AA111" s="392" t="n"/>
      <c r="AB111" s="392" t="n"/>
      <c r="AC111" s="392" t="n"/>
      <c r="AD111" s="392" t="n"/>
      <c r="AE111" s="392" t="n"/>
      <c r="AF111" s="392" t="n"/>
      <c r="AG111" s="392" t="n"/>
      <c r="AH111" s="392" t="n"/>
      <c r="AI111" s="392" t="n"/>
      <c r="AJ111" s="392" t="n"/>
      <c r="AK111" s="392" t="n"/>
      <c r="AL111" s="392" t="n"/>
      <c r="AM111" s="392" t="n"/>
      <c r="AN111" s="392" t="n"/>
      <c r="AO111" s="392" t="n"/>
      <c r="AP111" s="392" t="n"/>
      <c r="AQ111" s="392" t="n"/>
      <c r="AR111" s="392" t="n"/>
      <c r="AS111" s="392" t="n"/>
      <c r="AT111" s="392" t="n"/>
      <c r="AU111" s="392" t="n"/>
      <c r="AV111" s="392" t="n"/>
      <c r="AW111" s="392" t="n"/>
      <c r="AX111" s="392" t="n"/>
      <c r="AY111" s="392" t="n"/>
      <c r="AZ111" s="392" t="n"/>
      <c r="BA111" s="392" t="n"/>
      <c r="BB111" s="392" t="n"/>
      <c r="BC111" s="392" t="n"/>
      <c r="BD111" s="392" t="n"/>
      <c r="BE111" s="392" t="n"/>
      <c r="BF111" s="392" t="n"/>
      <c r="BG111" s="392" t="n"/>
      <c r="BH111" s="392" t="n"/>
      <c r="BI111" s="392" t="n"/>
      <c r="BJ111" s="392" t="n"/>
      <c r="BK111" s="392" t="n"/>
      <c r="BL111" s="392" t="n"/>
      <c r="BM111" s="392" t="n"/>
      <c r="BN111" s="392" t="n"/>
      <c r="BO111" s="392" t="n"/>
      <c r="BP111" s="392" t="n"/>
      <c r="BQ111" s="392" t="n"/>
      <c r="BR111" s="392" t="n"/>
      <c r="BS111" s="392" t="n"/>
      <c r="BT111" s="392" t="n"/>
      <c r="BU111" s="392" t="n"/>
      <c r="BV111" s="392" t="n"/>
      <c r="BW111" s="392" t="n"/>
      <c r="BX111" s="392" t="n"/>
      <c r="BY111" s="392" t="n"/>
      <c r="BZ111" s="392" t="n"/>
      <c r="CA111" s="392" t="n"/>
      <c r="CB111" s="392" t="n"/>
      <c r="CC111" s="392" t="n"/>
      <c r="CD111" s="392" t="n"/>
      <c r="CE111" s="392" t="n"/>
      <c r="CF111" s="392" t="n"/>
      <c r="CG111" s="392" t="n"/>
      <c r="CH111" s="392" t="n"/>
      <c r="CI111" s="392" t="n"/>
      <c r="CJ111" s="392" t="n"/>
      <c r="CK111" s="392" t="n"/>
      <c r="CL111" s="392" t="n"/>
      <c r="CM111" s="392" t="n"/>
      <c r="CN111" s="392" t="n"/>
      <c r="CO111" s="392" t="n"/>
      <c r="CP111" s="392" t="n"/>
      <c r="CQ111" s="392" t="n"/>
      <c r="CR111" s="392" t="n"/>
      <c r="CS111" s="392" t="n"/>
      <c r="CT111" s="392" t="n"/>
      <c r="CU111" s="392" t="n"/>
      <c r="CV111" s="392" t="n"/>
      <c r="CW111" s="392" t="n"/>
      <c r="CX111" s="392" t="n"/>
      <c r="CY111" s="392" t="n"/>
      <c r="CZ111" s="392" t="n"/>
      <c r="DA111" s="392" t="n"/>
      <c r="DB111" s="392" t="n"/>
      <c r="DC111" s="392" t="n"/>
      <c r="DD111" s="392" t="n"/>
      <c r="DE111" s="392" t="n"/>
    </row>
    <row r="112" ht="15" customFormat="1" customHeight="1" s="380">
      <c r="A112" s="402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Format="1" customHeight="1" s="380">
      <c r="A113" s="397" t="inlineStr">
        <is>
          <t>5000-1000 Payroll</t>
        </is>
      </c>
      <c r="B113" s="392">
        <f>IF(ISBLANK(Actuals!C21),0,Actuals!C21)</f>
        <v/>
      </c>
      <c r="C113" s="392">
        <f>IF(ISBLANK(Actuals!D21),0,Actuals!D21)</f>
        <v/>
      </c>
      <c r="D113" s="392">
        <f>IF(ISBLANK(Actuals!E21),0,Actuals!E21)</f>
        <v/>
      </c>
      <c r="E113" s="392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2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2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2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2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2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2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2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2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2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2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2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2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2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2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2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2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2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2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2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2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2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2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2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2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2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2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2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2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2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2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2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2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2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2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2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2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2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2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2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2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2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2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2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2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2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2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2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2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2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2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2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2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2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2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2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2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2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2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2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2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2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2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2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2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2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2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2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2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2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2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2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2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2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2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2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2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2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2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2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2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2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2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2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2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2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2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2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2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2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2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2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2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2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2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2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2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2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2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2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2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2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2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2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2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Format="1" customHeight="1" s="380">
      <c r="A114" s="397" t="inlineStr">
        <is>
          <t>5000-1001 Payroll Taxes</t>
        </is>
      </c>
      <c r="B114" s="392">
        <f>IF(ISBLANK(Actuals!C22),0,Actuals!C22)</f>
        <v/>
      </c>
      <c r="C114" s="392">
        <f>IF(ISBLANK(Actuals!D22),0,Actuals!D22)</f>
        <v/>
      </c>
      <c r="D114" s="392">
        <f>IF(ISBLANK(Actuals!E22),0,Actuals!E22)</f>
        <v/>
      </c>
      <c r="E114" s="392">
        <f>IF(ISBLANK(Actuals!F22),-Helpers!C4*Assumptions!$B$20,Actuals!F22)</f>
        <v/>
      </c>
      <c r="F114" s="392">
        <f>IF(ISBLANK(Actuals!G22),-Helpers!D4*Assumptions!$B$20,Actuals!G22)</f>
        <v/>
      </c>
      <c r="G114" s="392">
        <f>IF(ISBLANK(Actuals!H22),-Helpers!E4*Assumptions!$B$20,Actuals!H22)</f>
        <v/>
      </c>
      <c r="H114" s="392">
        <f>IF(ISBLANK(Actuals!I22),-Helpers!F4*Assumptions!$B$20,Actuals!I22)</f>
        <v/>
      </c>
      <c r="I114" s="392">
        <f>IF(ISBLANK(Actuals!J22),-Helpers!G4*Assumptions!$B$20,Actuals!J22)</f>
        <v/>
      </c>
      <c r="J114" s="392">
        <f>IF(ISBLANK(Actuals!K22),-Helpers!H4*Assumptions!$B$20,Actuals!K22)</f>
        <v/>
      </c>
      <c r="K114" s="392">
        <f>IF(ISBLANK(Actuals!L22),-Helpers!I4*Assumptions!$B$20,Actuals!L22)</f>
        <v/>
      </c>
      <c r="L114" s="392">
        <f>IF(ISBLANK(Actuals!M22),-Helpers!J4*Assumptions!$B$20,Actuals!M22)</f>
        <v/>
      </c>
      <c r="M114" s="392">
        <f>IF(ISBLANK(Actuals!N22),-Helpers!K4*Assumptions!$B$20,Actuals!N22)</f>
        <v/>
      </c>
      <c r="N114" s="392">
        <f>IF(ISBLANK(Actuals!O22),-Helpers!L4*Assumptions!$B$20,Actuals!O22)</f>
        <v/>
      </c>
      <c r="O114" s="392">
        <f>IF(ISBLANK(Actuals!P22),-Helpers!M4*Assumptions!$B$20,Actuals!P22)</f>
        <v/>
      </c>
      <c r="P114" s="392">
        <f>IF(ISBLANK(Actuals!Q22),-Helpers!N4*Assumptions!$B$20,Actuals!Q22)</f>
        <v/>
      </c>
      <c r="Q114" s="392">
        <f>IF(ISBLANK(Actuals!R22),-Helpers!O4*Assumptions!$B$20,Actuals!R22)</f>
        <v/>
      </c>
      <c r="R114" s="392">
        <f>IF(ISBLANK(Actuals!S22),-Helpers!P4*Assumptions!$B$20,Actuals!S22)</f>
        <v/>
      </c>
      <c r="S114" s="392">
        <f>IF(ISBLANK(Actuals!T22),-Helpers!Q4*Assumptions!$B$20,Actuals!T22)</f>
        <v/>
      </c>
      <c r="T114" s="392">
        <f>IF(ISBLANK(Actuals!U22),-Helpers!R4*Assumptions!$B$20,Actuals!U22)</f>
        <v/>
      </c>
      <c r="U114" s="392">
        <f>IF(ISBLANK(Actuals!V22),-Helpers!S4*Assumptions!$B$20,Actuals!V22)</f>
        <v/>
      </c>
      <c r="V114" s="392">
        <f>IF(ISBLANK(Actuals!W22),-Helpers!T4*Assumptions!$B$20,Actuals!W22)</f>
        <v/>
      </c>
      <c r="W114" s="392">
        <f>IF(ISBLANK(Actuals!X22),-Helpers!U4*Assumptions!$B$20,Actuals!X22)</f>
        <v/>
      </c>
      <c r="X114" s="392">
        <f>IF(ISBLANK(Actuals!Y22),-Helpers!V4*Assumptions!$B$20,Actuals!Y22)</f>
        <v/>
      </c>
      <c r="Y114" s="392">
        <f>IF(ISBLANK(Actuals!Z22),-Helpers!W4*Assumptions!$B$20,Actuals!Z22)</f>
        <v/>
      </c>
      <c r="Z114" s="392">
        <f>IF(ISBLANK(Actuals!AA22),-Helpers!X4*Assumptions!$B$20,Actuals!AA22)</f>
        <v/>
      </c>
      <c r="AA114" s="392">
        <f>IF(ISBLANK(Actuals!AB22),-Helpers!Y4*Assumptions!$B$20,Actuals!AB22)</f>
        <v/>
      </c>
      <c r="AB114" s="392">
        <f>IF(ISBLANK(Actuals!AC22),-Helpers!Z4*Assumptions!$B$20,Actuals!AC22)</f>
        <v/>
      </c>
      <c r="AC114" s="392">
        <f>IF(ISBLANK(Actuals!AD22),-Helpers!AA4*Assumptions!$B$20,Actuals!AD22)</f>
        <v/>
      </c>
      <c r="AD114" s="392">
        <f>IF(ISBLANK(Actuals!AE22),-Helpers!AB4*Assumptions!$B$20,Actuals!AE22)</f>
        <v/>
      </c>
      <c r="AE114" s="392">
        <f>IF(ISBLANK(Actuals!AF22),-Helpers!AC4*Assumptions!$B$20,Actuals!AF22)</f>
        <v/>
      </c>
      <c r="AF114" s="392">
        <f>IF(ISBLANK(Actuals!AG22),-Helpers!AD4*Assumptions!$B$20,Actuals!AG22)</f>
        <v/>
      </c>
      <c r="AG114" s="392">
        <f>IF(ISBLANK(Actuals!AH22),-Helpers!AE4*Assumptions!$B$20,Actuals!AH22)</f>
        <v/>
      </c>
      <c r="AH114" s="392">
        <f>IF(ISBLANK(Actuals!AI22),-Helpers!AF4*Assumptions!$B$20,Actuals!AI22)</f>
        <v/>
      </c>
      <c r="AI114" s="392">
        <f>IF(ISBLANK(Actuals!AJ22),-Helpers!AG4*Assumptions!$B$20,Actuals!AJ22)</f>
        <v/>
      </c>
      <c r="AJ114" s="392">
        <f>IF(ISBLANK(Actuals!AK22),-Helpers!AH4*Assumptions!$B$20,Actuals!AK22)</f>
        <v/>
      </c>
      <c r="AK114" s="392">
        <f>IF(ISBLANK(Actuals!AL22),-Helpers!AI4*Assumptions!$B$20,Actuals!AL22)</f>
        <v/>
      </c>
      <c r="AL114" s="392">
        <f>IF(ISBLANK(Actuals!AM22),-Helpers!AJ4*Assumptions!$B$20,Actuals!AM22)</f>
        <v/>
      </c>
      <c r="AM114" s="392">
        <f>IF(ISBLANK(Actuals!AN22),-Helpers!AK4*Assumptions!$B$20,Actuals!AN22)</f>
        <v/>
      </c>
      <c r="AN114" s="392">
        <f>IF(ISBLANK(Actuals!AO22),-Helpers!AL4*Assumptions!$B$20,Actuals!AO22)</f>
        <v/>
      </c>
      <c r="AO114" s="392">
        <f>IF(ISBLANK(Actuals!AP22),-Helpers!AM4*Assumptions!$B$20,Actuals!AP22)</f>
        <v/>
      </c>
      <c r="AP114" s="392">
        <f>IF(ISBLANK(Actuals!AQ22),-Helpers!AN4*Assumptions!$B$20,Actuals!AQ22)</f>
        <v/>
      </c>
      <c r="AQ114" s="392">
        <f>IF(ISBLANK(Actuals!AR22),-Helpers!AO4*Assumptions!$B$20,Actuals!AR22)</f>
        <v/>
      </c>
      <c r="AR114" s="392">
        <f>IF(ISBLANK(Actuals!AS22),-Helpers!AP4*Assumptions!$B$20,Actuals!AS22)</f>
        <v/>
      </c>
      <c r="AS114" s="392">
        <f>IF(ISBLANK(Actuals!AT22),-Helpers!AQ4*Assumptions!$B$20,Actuals!AT22)</f>
        <v/>
      </c>
      <c r="AT114" s="392">
        <f>IF(ISBLANK(Actuals!AU22),-Helpers!AR4*Assumptions!$B$20,Actuals!AU22)</f>
        <v/>
      </c>
      <c r="AU114" s="392">
        <f>IF(ISBLANK(Actuals!AV22),-Helpers!AS4*Assumptions!$B$20,Actuals!AV22)</f>
        <v/>
      </c>
      <c r="AV114" s="392">
        <f>IF(ISBLANK(Actuals!AW22),-Helpers!AT4*Assumptions!$B$20,Actuals!AW22)</f>
        <v/>
      </c>
      <c r="AW114" s="392">
        <f>IF(ISBLANK(Actuals!AX22),-Helpers!AU4*Assumptions!$B$20,Actuals!AX22)</f>
        <v/>
      </c>
      <c r="AX114" s="392">
        <f>IF(ISBLANK(Actuals!AY22),-Helpers!AV4*Assumptions!$B$20,Actuals!AY22)</f>
        <v/>
      </c>
      <c r="AY114" s="392">
        <f>IF(ISBLANK(Actuals!AZ22),-Helpers!AW4*Assumptions!$B$20,Actuals!AZ22)</f>
        <v/>
      </c>
      <c r="AZ114" s="392">
        <f>IF(ISBLANK(Actuals!BA22),-Helpers!AX4*Assumptions!$B$20,Actuals!BA22)</f>
        <v/>
      </c>
      <c r="BA114" s="392">
        <f>IF(ISBLANK(Actuals!BB22),-Helpers!AY4*Assumptions!$B$20,Actuals!BB22)</f>
        <v/>
      </c>
      <c r="BB114" s="392">
        <f>IF(ISBLANK(Actuals!BC22),-Helpers!AZ4*Assumptions!$B$20,Actuals!BC22)</f>
        <v/>
      </c>
      <c r="BC114" s="392">
        <f>IF(ISBLANK(Actuals!BD22),-Helpers!BA4*Assumptions!$B$20,Actuals!BD22)</f>
        <v/>
      </c>
      <c r="BD114" s="392">
        <f>IF(ISBLANK(Actuals!BE22),-Helpers!BB4*Assumptions!$B$20,Actuals!BE22)</f>
        <v/>
      </c>
      <c r="BE114" s="392">
        <f>IF(ISBLANK(Actuals!BF22),-Helpers!BC4*Assumptions!$B$20,Actuals!BF22)</f>
        <v/>
      </c>
      <c r="BF114" s="392">
        <f>IF(ISBLANK(Actuals!BG22),-Helpers!BD4*Assumptions!$B$20,Actuals!BG22)</f>
        <v/>
      </c>
      <c r="BG114" s="392">
        <f>IF(ISBLANK(Actuals!BH22),-Helpers!BE4*Assumptions!$B$20,Actuals!BH22)</f>
        <v/>
      </c>
      <c r="BH114" s="392">
        <f>IF(ISBLANK(Actuals!BI22),-Helpers!BF4*Assumptions!$B$20,Actuals!BI22)</f>
        <v/>
      </c>
      <c r="BI114" s="392">
        <f>IF(ISBLANK(Actuals!BJ22),-Helpers!BG4*Assumptions!$B$20,Actuals!BJ22)</f>
        <v/>
      </c>
      <c r="BJ114" s="392">
        <f>IF(ISBLANK(Actuals!BK22),-Helpers!BH4*Assumptions!$B$20,Actuals!BK22)</f>
        <v/>
      </c>
      <c r="BK114" s="392">
        <f>IF(ISBLANK(Actuals!BL22),-Helpers!BI4*Assumptions!$B$20,Actuals!BL22)</f>
        <v/>
      </c>
      <c r="BL114" s="392">
        <f>IF(ISBLANK(Actuals!BM22),-Helpers!BJ4*Assumptions!$B$20,Actuals!BM22)</f>
        <v/>
      </c>
      <c r="BM114" s="392">
        <f>IF(ISBLANK(Actuals!BN22),-Helpers!BK4*Assumptions!$B$20,Actuals!BN22)</f>
        <v/>
      </c>
      <c r="BN114" s="392">
        <f>IF(ISBLANK(Actuals!BO22),-Helpers!BL4*Assumptions!$B$20,Actuals!BO22)</f>
        <v/>
      </c>
      <c r="BO114" s="392">
        <f>IF(ISBLANK(Actuals!BP22),-Helpers!BM4*Assumptions!$B$20,Actuals!BP22)</f>
        <v/>
      </c>
      <c r="BP114" s="392">
        <f>IF(ISBLANK(Actuals!BQ22),-Helpers!BN4*Assumptions!$B$20,Actuals!BQ22)</f>
        <v/>
      </c>
      <c r="BQ114" s="392">
        <f>IF(ISBLANK(Actuals!BR22),-Helpers!BO4*Assumptions!$B$20,Actuals!BR22)</f>
        <v/>
      </c>
      <c r="BR114" s="392">
        <f>IF(ISBLANK(Actuals!BS22),-Helpers!BP4*Assumptions!$B$20,Actuals!BS22)</f>
        <v/>
      </c>
      <c r="BS114" s="392">
        <f>IF(ISBLANK(Actuals!BT22),-Helpers!BQ4*Assumptions!$B$20,Actuals!BT22)</f>
        <v/>
      </c>
      <c r="BT114" s="392">
        <f>IF(ISBLANK(Actuals!BU22),-Helpers!BR4*Assumptions!$B$20,Actuals!BU22)</f>
        <v/>
      </c>
      <c r="BU114" s="392">
        <f>IF(ISBLANK(Actuals!BV22),-Helpers!BS4*Assumptions!$B$20,Actuals!BV22)</f>
        <v/>
      </c>
      <c r="BV114" s="392">
        <f>IF(ISBLANK(Actuals!BW22),-Helpers!BT4*Assumptions!$B$20,Actuals!BW22)</f>
        <v/>
      </c>
      <c r="BW114" s="392">
        <f>IF(ISBLANK(Actuals!BX22),-Helpers!BU4*Assumptions!$B$20,Actuals!BX22)</f>
        <v/>
      </c>
      <c r="BX114" s="392">
        <f>IF(ISBLANK(Actuals!BY22),-Helpers!BV4*Assumptions!$B$20,Actuals!BY22)</f>
        <v/>
      </c>
      <c r="BY114" s="392">
        <f>IF(ISBLANK(Actuals!BZ22),-Helpers!BW4*Assumptions!$B$20,Actuals!BZ22)</f>
        <v/>
      </c>
      <c r="BZ114" s="392">
        <f>IF(ISBLANK(Actuals!CA22),-Helpers!BX4*Assumptions!$B$20,Actuals!CA22)</f>
        <v/>
      </c>
      <c r="CA114" s="392">
        <f>IF(ISBLANK(Actuals!CB22),-Helpers!BY4*Assumptions!$B$20,Actuals!CB22)</f>
        <v/>
      </c>
      <c r="CB114" s="392">
        <f>IF(ISBLANK(Actuals!CC22),-Helpers!BZ4*Assumptions!$B$20,Actuals!CC22)</f>
        <v/>
      </c>
      <c r="CC114" s="392">
        <f>IF(ISBLANK(Actuals!CD22),-Helpers!CA4*Assumptions!$B$20,Actuals!CD22)</f>
        <v/>
      </c>
      <c r="CD114" s="392">
        <f>IF(ISBLANK(Actuals!CE22),-Helpers!CB4*Assumptions!$B$20,Actuals!CE22)</f>
        <v/>
      </c>
      <c r="CE114" s="392">
        <f>IF(ISBLANK(Actuals!CF22),-Helpers!CC4*Assumptions!$B$20,Actuals!CF22)</f>
        <v/>
      </c>
      <c r="CF114" s="392">
        <f>IF(ISBLANK(Actuals!CG22),-Helpers!CD4*Assumptions!$B$20,Actuals!CG22)</f>
        <v/>
      </c>
      <c r="CG114" s="392">
        <f>IF(ISBLANK(Actuals!CH22),-Helpers!CE4*Assumptions!$B$20,Actuals!CH22)</f>
        <v/>
      </c>
      <c r="CH114" s="392">
        <f>IF(ISBLANK(Actuals!CI22),-Helpers!CF4*Assumptions!$B$20,Actuals!CI22)</f>
        <v/>
      </c>
      <c r="CI114" s="392">
        <f>IF(ISBLANK(Actuals!CJ22),-Helpers!CG4*Assumptions!$B$20,Actuals!CJ22)</f>
        <v/>
      </c>
      <c r="CJ114" s="392">
        <f>IF(ISBLANK(Actuals!CK22),-Helpers!CH4*Assumptions!$B$20,Actuals!CK22)</f>
        <v/>
      </c>
      <c r="CK114" s="392">
        <f>IF(ISBLANK(Actuals!CL22),-Helpers!CI4*Assumptions!$B$20,Actuals!CL22)</f>
        <v/>
      </c>
      <c r="CL114" s="392">
        <f>IF(ISBLANK(Actuals!CM22),-Helpers!CJ4*Assumptions!$B$20,Actuals!CM22)</f>
        <v/>
      </c>
      <c r="CM114" s="392">
        <f>IF(ISBLANK(Actuals!CN22),-Helpers!CK4*Assumptions!$B$20,Actuals!CN22)</f>
        <v/>
      </c>
      <c r="CN114" s="392">
        <f>IF(ISBLANK(Actuals!CO22),-Helpers!CL4*Assumptions!$B$20,Actuals!CO22)</f>
        <v/>
      </c>
      <c r="CO114" s="392">
        <f>IF(ISBLANK(Actuals!CP22),-Helpers!CM4*Assumptions!$B$20,Actuals!CP22)</f>
        <v/>
      </c>
      <c r="CP114" s="392">
        <f>IF(ISBLANK(Actuals!CQ22),-Helpers!CN4*Assumptions!$B$20,Actuals!CQ22)</f>
        <v/>
      </c>
      <c r="CQ114" s="392">
        <f>IF(ISBLANK(Actuals!CR22),-Helpers!CO4*Assumptions!$B$20,Actuals!CR22)</f>
        <v/>
      </c>
      <c r="CR114" s="392">
        <f>IF(ISBLANK(Actuals!CS22),-Helpers!CP4*Assumptions!$B$20,Actuals!CS22)</f>
        <v/>
      </c>
      <c r="CS114" s="392">
        <f>IF(ISBLANK(Actuals!CT22),-Helpers!CQ4*Assumptions!$B$20,Actuals!CT22)</f>
        <v/>
      </c>
      <c r="CT114" s="392">
        <f>IF(ISBLANK(Actuals!CU22),-Helpers!CR4*Assumptions!$B$20,Actuals!CU22)</f>
        <v/>
      </c>
      <c r="CU114" s="392">
        <f>IF(ISBLANK(Actuals!CV22),-Helpers!CS4*Assumptions!$B$20,Actuals!CV22)</f>
        <v/>
      </c>
      <c r="CV114" s="392">
        <f>IF(ISBLANK(Actuals!CW22),-Helpers!CT4*Assumptions!$B$20,Actuals!CW22)</f>
        <v/>
      </c>
      <c r="CW114" s="392">
        <f>IF(ISBLANK(Actuals!CX22),-Helpers!CU4*Assumptions!$B$20,Actuals!CX22)</f>
        <v/>
      </c>
      <c r="CX114" s="392">
        <f>IF(ISBLANK(Actuals!CY22),-Helpers!CV4*Assumptions!$B$20,Actuals!CY22)</f>
        <v/>
      </c>
      <c r="CY114" s="392">
        <f>IF(ISBLANK(Actuals!CZ22),-Helpers!CW4*Assumptions!$B$20,Actuals!CZ22)</f>
        <v/>
      </c>
      <c r="CZ114" s="392">
        <f>IF(ISBLANK(Actuals!DA22),-Helpers!CX4*Assumptions!$B$20,Actuals!DA22)</f>
        <v/>
      </c>
      <c r="DA114" s="392">
        <f>IF(ISBLANK(Actuals!DB22),-Helpers!CY4*Assumptions!$B$20,Actuals!DB22)</f>
        <v/>
      </c>
      <c r="DB114" s="392">
        <f>IF(ISBLANK(Actuals!DC22),-Helpers!CZ4*Assumptions!$B$20,Actuals!DC22)</f>
        <v/>
      </c>
      <c r="DC114" s="392">
        <f>IF(ISBLANK(Actuals!DD22),-Helpers!DA4*Assumptions!$B$20,Actuals!DD22)</f>
        <v/>
      </c>
      <c r="DD114" s="392">
        <f>IF(ISBLANK(Actuals!DE22),-Helpers!DB4*Assumptions!$B$20,Actuals!DE22)</f>
        <v/>
      </c>
      <c r="DE114" s="392">
        <f>IF(ISBLANK(Actuals!DF22),-Helpers!DC4*Assumptions!$B$20,Actuals!DF22)</f>
        <v/>
      </c>
    </row>
    <row r="115" ht="15" customFormat="1" customHeight="1" s="380">
      <c r="A115" s="397" t="inlineStr">
        <is>
          <t>SP Allocated to LV</t>
        </is>
      </c>
      <c r="B115" s="392">
        <f>IF(ISBLANK(Actuals!C23),0,Actuals!C23)</f>
        <v/>
      </c>
      <c r="C115" s="392">
        <f>IF(ISBLANK(Actuals!D23),0,Actuals!D23)</f>
        <v/>
      </c>
      <c r="D115" s="392">
        <f>IF(ISBLANK(Actuals!E23),0,Actuals!E23)</f>
        <v/>
      </c>
      <c r="E115" s="392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2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2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2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2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2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2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2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2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2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2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2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2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2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2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2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2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2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2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2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2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2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2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2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2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2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2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2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2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2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2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2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2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2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2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2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2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2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2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2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2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2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2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2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2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2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2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2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2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2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2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2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2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2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2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2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2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2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2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2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2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2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2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2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2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2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2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2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2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2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2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2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2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2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2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2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2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2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2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2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2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2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2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2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2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2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2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2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2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2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2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2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2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2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2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2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2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2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2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2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2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2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2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2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2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Format="1" customHeight="1" s="380">
      <c r="A116" s="397" t="inlineStr">
        <is>
          <t>5000-1002 Employee Benefits</t>
        </is>
      </c>
      <c r="B116" s="392">
        <f>IF(ISBLANK(Actuals!C24),0,Actuals!C24)</f>
        <v/>
      </c>
      <c r="C116" s="392">
        <f>IF(ISBLANK(Actuals!D24),0,Actuals!D24)</f>
        <v/>
      </c>
      <c r="D116" s="392">
        <f>IF(ISBLANK(Actuals!E24),0,Actuals!E24)</f>
        <v/>
      </c>
      <c r="E116" s="392">
        <f>IF(ISBLANK(Actuals!F24),-Helpers!C4*Assumptions!$B$22,Actuals!F24)</f>
        <v/>
      </c>
      <c r="F116" s="392">
        <f>IF(ISBLANK(Actuals!G24),-Helpers!D4*Assumptions!$B$22,Actuals!G24)</f>
        <v/>
      </c>
      <c r="G116" s="392">
        <f>IF(ISBLANK(Actuals!H24),-Helpers!E4*Assumptions!$B$22,Actuals!H24)</f>
        <v/>
      </c>
      <c r="H116" s="392">
        <f>IF(ISBLANK(Actuals!I24),-Helpers!F4*Assumptions!$B$22,Actuals!I24)</f>
        <v/>
      </c>
      <c r="I116" s="392">
        <f>IF(ISBLANK(Actuals!J24),-Helpers!G4*Assumptions!$B$22,Actuals!J24)</f>
        <v/>
      </c>
      <c r="J116" s="392">
        <f>IF(ISBLANK(Actuals!K24),-Helpers!H4*Assumptions!$B$22,Actuals!K24)</f>
        <v/>
      </c>
      <c r="K116" s="392">
        <f>IF(ISBLANK(Actuals!L24),-Helpers!I4*Assumptions!$B$22,Actuals!L24)</f>
        <v/>
      </c>
      <c r="L116" s="392">
        <f>IF(ISBLANK(Actuals!M24),-Helpers!J4*Assumptions!$B$22,Actuals!M24)</f>
        <v/>
      </c>
      <c r="M116" s="392">
        <f>IF(ISBLANK(Actuals!N24),-Helpers!K4*Assumptions!$B$22,Actuals!N24)</f>
        <v/>
      </c>
      <c r="N116" s="392">
        <f>IF(ISBLANK(Actuals!O24),-Helpers!L4*Assumptions!$B$22,Actuals!O24)</f>
        <v/>
      </c>
      <c r="O116" s="392">
        <f>IF(ISBLANK(Actuals!P24),-Helpers!M4*Assumptions!$B$22,Actuals!P24)</f>
        <v/>
      </c>
      <c r="P116" s="392">
        <f>IF(ISBLANK(Actuals!Q24),-Helpers!N4*Assumptions!$B$22,Actuals!Q24)</f>
        <v/>
      </c>
      <c r="Q116" s="392">
        <f>IF(ISBLANK(Actuals!R24),-Helpers!O4*Assumptions!$B$22,Actuals!R24)</f>
        <v/>
      </c>
      <c r="R116" s="392">
        <f>IF(ISBLANK(Actuals!S24),-Helpers!P4*Assumptions!$B$22,Actuals!S24)</f>
        <v/>
      </c>
      <c r="S116" s="392">
        <f>IF(ISBLANK(Actuals!T24),-Helpers!Q4*Assumptions!$B$22,Actuals!T24)</f>
        <v/>
      </c>
      <c r="T116" s="392">
        <f>IF(ISBLANK(Actuals!U24),-Helpers!R4*Assumptions!$B$22,Actuals!U24)</f>
        <v/>
      </c>
      <c r="U116" s="392">
        <f>IF(ISBLANK(Actuals!V24),-Helpers!S4*Assumptions!$B$22,Actuals!V24)</f>
        <v/>
      </c>
      <c r="V116" s="392">
        <f>IF(ISBLANK(Actuals!W24),-Helpers!T4*Assumptions!$B$22,Actuals!W24)</f>
        <v/>
      </c>
      <c r="W116" s="392">
        <f>IF(ISBLANK(Actuals!X24),-Helpers!U4*Assumptions!$B$22,Actuals!X24)</f>
        <v/>
      </c>
      <c r="X116" s="392">
        <f>IF(ISBLANK(Actuals!Y24),-Helpers!V4*Assumptions!$B$22,Actuals!Y24)</f>
        <v/>
      </c>
      <c r="Y116" s="392">
        <f>IF(ISBLANK(Actuals!Z24),-Helpers!W4*Assumptions!$B$22,Actuals!Z24)</f>
        <v/>
      </c>
      <c r="Z116" s="392">
        <f>IF(ISBLANK(Actuals!AA24),-Helpers!X4*Assumptions!$B$22,Actuals!AA24)</f>
        <v/>
      </c>
      <c r="AA116" s="392">
        <f>IF(ISBLANK(Actuals!AB24),-Helpers!Y4*Assumptions!$B$22,Actuals!AB24)</f>
        <v/>
      </c>
      <c r="AB116" s="392">
        <f>IF(ISBLANK(Actuals!AC24),-Helpers!Z4*Assumptions!$B$22,Actuals!AC24)</f>
        <v/>
      </c>
      <c r="AC116" s="392">
        <f>IF(ISBLANK(Actuals!AD24),-Helpers!AA4*Assumptions!$B$22,Actuals!AD24)</f>
        <v/>
      </c>
      <c r="AD116" s="392">
        <f>IF(ISBLANK(Actuals!AE24),-Helpers!AB4*Assumptions!$B$22,Actuals!AE24)</f>
        <v/>
      </c>
      <c r="AE116" s="392">
        <f>IF(ISBLANK(Actuals!AF24),-Helpers!AC4*Assumptions!$B$22,Actuals!AF24)</f>
        <v/>
      </c>
      <c r="AF116" s="392">
        <f>IF(ISBLANK(Actuals!AG24),-Helpers!AD4*Assumptions!$B$22,Actuals!AG24)</f>
        <v/>
      </c>
      <c r="AG116" s="392">
        <f>IF(ISBLANK(Actuals!AH24),-Helpers!AE4*Assumptions!$B$22,Actuals!AH24)</f>
        <v/>
      </c>
      <c r="AH116" s="392">
        <f>IF(ISBLANK(Actuals!AI24),-Helpers!AF4*Assumptions!$B$22,Actuals!AI24)</f>
        <v/>
      </c>
      <c r="AI116" s="392">
        <f>IF(ISBLANK(Actuals!AJ24),-Helpers!AG4*Assumptions!$B$22,Actuals!AJ24)</f>
        <v/>
      </c>
      <c r="AJ116" s="392">
        <f>IF(ISBLANK(Actuals!AK24),-Helpers!AH4*Assumptions!$B$22,Actuals!AK24)</f>
        <v/>
      </c>
      <c r="AK116" s="392">
        <f>IF(ISBLANK(Actuals!AL24),-Helpers!AI4*Assumptions!$B$22,Actuals!AL24)</f>
        <v/>
      </c>
      <c r="AL116" s="392">
        <f>IF(ISBLANK(Actuals!AM24),-Helpers!AJ4*Assumptions!$B$22,Actuals!AM24)</f>
        <v/>
      </c>
      <c r="AM116" s="392">
        <f>IF(ISBLANK(Actuals!AN24),-Helpers!AK4*Assumptions!$B$22,Actuals!AN24)</f>
        <v/>
      </c>
      <c r="AN116" s="392">
        <f>IF(ISBLANK(Actuals!AO24),-Helpers!AL4*Assumptions!$B$22,Actuals!AO24)</f>
        <v/>
      </c>
      <c r="AO116" s="392">
        <f>IF(ISBLANK(Actuals!AP24),-Helpers!AM4*Assumptions!$B$22,Actuals!AP24)</f>
        <v/>
      </c>
      <c r="AP116" s="392">
        <f>IF(ISBLANK(Actuals!AQ24),-Helpers!AN4*Assumptions!$B$22,Actuals!AQ24)</f>
        <v/>
      </c>
      <c r="AQ116" s="392">
        <f>IF(ISBLANK(Actuals!AR24),-Helpers!AO4*Assumptions!$B$22,Actuals!AR24)</f>
        <v/>
      </c>
      <c r="AR116" s="392">
        <f>IF(ISBLANK(Actuals!AS24),-Helpers!AP4*Assumptions!$B$22,Actuals!AS24)</f>
        <v/>
      </c>
      <c r="AS116" s="392">
        <f>IF(ISBLANK(Actuals!AT24),-Helpers!AQ4*Assumptions!$B$22,Actuals!AT24)</f>
        <v/>
      </c>
      <c r="AT116" s="392">
        <f>IF(ISBLANK(Actuals!AU24),-Helpers!AR4*Assumptions!$B$22,Actuals!AU24)</f>
        <v/>
      </c>
      <c r="AU116" s="392">
        <f>IF(ISBLANK(Actuals!AV24),-Helpers!AS4*Assumptions!$B$22,Actuals!AV24)</f>
        <v/>
      </c>
      <c r="AV116" s="392">
        <f>IF(ISBLANK(Actuals!AW24),-Helpers!AT4*Assumptions!$B$22,Actuals!AW24)</f>
        <v/>
      </c>
      <c r="AW116" s="392">
        <f>IF(ISBLANK(Actuals!AX24),-Helpers!AU4*Assumptions!$B$22,Actuals!AX24)</f>
        <v/>
      </c>
      <c r="AX116" s="392">
        <f>IF(ISBLANK(Actuals!AY24),-Helpers!AV4*Assumptions!$B$22,Actuals!AY24)</f>
        <v/>
      </c>
      <c r="AY116" s="392">
        <f>IF(ISBLANK(Actuals!AZ24),-Helpers!AW4*Assumptions!$B$22,Actuals!AZ24)</f>
        <v/>
      </c>
      <c r="AZ116" s="392">
        <f>IF(ISBLANK(Actuals!BA24),-Helpers!AX4*Assumptions!$B$22,Actuals!BA24)</f>
        <v/>
      </c>
      <c r="BA116" s="392">
        <f>IF(ISBLANK(Actuals!BB24),-Helpers!AY4*Assumptions!$B$22,Actuals!BB24)</f>
        <v/>
      </c>
      <c r="BB116" s="392">
        <f>IF(ISBLANK(Actuals!BC24),-Helpers!AZ4*Assumptions!$B$22,Actuals!BC24)</f>
        <v/>
      </c>
      <c r="BC116" s="392">
        <f>IF(ISBLANK(Actuals!BD24),-Helpers!BA4*Assumptions!$B$22,Actuals!BD24)</f>
        <v/>
      </c>
      <c r="BD116" s="392">
        <f>IF(ISBLANK(Actuals!BE24),-Helpers!BB4*Assumptions!$B$22,Actuals!BE24)</f>
        <v/>
      </c>
      <c r="BE116" s="392">
        <f>IF(ISBLANK(Actuals!BF24),-Helpers!BC4*Assumptions!$B$22,Actuals!BF24)</f>
        <v/>
      </c>
      <c r="BF116" s="392">
        <f>IF(ISBLANK(Actuals!BG24),-Helpers!BD4*Assumptions!$B$22,Actuals!BG24)</f>
        <v/>
      </c>
      <c r="BG116" s="392">
        <f>IF(ISBLANK(Actuals!BH24),-Helpers!BE4*Assumptions!$B$22,Actuals!BH24)</f>
        <v/>
      </c>
      <c r="BH116" s="392">
        <f>IF(ISBLANK(Actuals!BI24),-Helpers!BF4*Assumptions!$B$22,Actuals!BI24)</f>
        <v/>
      </c>
      <c r="BI116" s="392">
        <f>IF(ISBLANK(Actuals!BJ24),-Helpers!BG4*Assumptions!$B$22,Actuals!BJ24)</f>
        <v/>
      </c>
      <c r="BJ116" s="392">
        <f>IF(ISBLANK(Actuals!BK24),-Helpers!BH4*Assumptions!$B$22,Actuals!BK24)</f>
        <v/>
      </c>
      <c r="BK116" s="392">
        <f>IF(ISBLANK(Actuals!BL24),-Helpers!BI4*Assumptions!$B$22,Actuals!BL24)</f>
        <v/>
      </c>
      <c r="BL116" s="392">
        <f>IF(ISBLANK(Actuals!BM24),-Helpers!BJ4*Assumptions!$B$22,Actuals!BM24)</f>
        <v/>
      </c>
      <c r="BM116" s="392">
        <f>IF(ISBLANK(Actuals!BN24),-Helpers!BK4*Assumptions!$B$22,Actuals!BN24)</f>
        <v/>
      </c>
      <c r="BN116" s="392">
        <f>IF(ISBLANK(Actuals!BO24),-Helpers!BL4*Assumptions!$B$22,Actuals!BO24)</f>
        <v/>
      </c>
      <c r="BO116" s="392">
        <f>IF(ISBLANK(Actuals!BP24),-Helpers!BM4*Assumptions!$B$22,Actuals!BP24)</f>
        <v/>
      </c>
      <c r="BP116" s="392">
        <f>IF(ISBLANK(Actuals!BQ24),-Helpers!BN4*Assumptions!$B$22,Actuals!BQ24)</f>
        <v/>
      </c>
      <c r="BQ116" s="392">
        <f>IF(ISBLANK(Actuals!BR24),-Helpers!BO4*Assumptions!$B$22,Actuals!BR24)</f>
        <v/>
      </c>
      <c r="BR116" s="392">
        <f>IF(ISBLANK(Actuals!BS24),-Helpers!BP4*Assumptions!$B$22,Actuals!BS24)</f>
        <v/>
      </c>
      <c r="BS116" s="392">
        <f>IF(ISBLANK(Actuals!BT24),-Helpers!BQ4*Assumptions!$B$22,Actuals!BT24)</f>
        <v/>
      </c>
      <c r="BT116" s="392">
        <f>IF(ISBLANK(Actuals!BU24),-Helpers!BR4*Assumptions!$B$22,Actuals!BU24)</f>
        <v/>
      </c>
      <c r="BU116" s="392">
        <f>IF(ISBLANK(Actuals!BV24),-Helpers!BS4*Assumptions!$B$22,Actuals!BV24)</f>
        <v/>
      </c>
      <c r="BV116" s="392">
        <f>IF(ISBLANK(Actuals!BW24),-Helpers!BT4*Assumptions!$B$22,Actuals!BW24)</f>
        <v/>
      </c>
      <c r="BW116" s="392">
        <f>IF(ISBLANK(Actuals!BX24),-Helpers!BU4*Assumptions!$B$22,Actuals!BX24)</f>
        <v/>
      </c>
      <c r="BX116" s="392">
        <f>IF(ISBLANK(Actuals!BY24),-Helpers!BV4*Assumptions!$B$22,Actuals!BY24)</f>
        <v/>
      </c>
      <c r="BY116" s="392">
        <f>IF(ISBLANK(Actuals!BZ24),-Helpers!BW4*Assumptions!$B$22,Actuals!BZ24)</f>
        <v/>
      </c>
      <c r="BZ116" s="392">
        <f>IF(ISBLANK(Actuals!CA24),-Helpers!BX4*Assumptions!$B$22,Actuals!CA24)</f>
        <v/>
      </c>
      <c r="CA116" s="392">
        <f>IF(ISBLANK(Actuals!CB24),-Helpers!BY4*Assumptions!$B$22,Actuals!CB24)</f>
        <v/>
      </c>
      <c r="CB116" s="392">
        <f>IF(ISBLANK(Actuals!CC24),-Helpers!BZ4*Assumptions!$B$22,Actuals!CC24)</f>
        <v/>
      </c>
      <c r="CC116" s="392">
        <f>IF(ISBLANK(Actuals!CD24),-Helpers!CA4*Assumptions!$B$22,Actuals!CD24)</f>
        <v/>
      </c>
      <c r="CD116" s="392">
        <f>IF(ISBLANK(Actuals!CE24),-Helpers!CB4*Assumptions!$B$22,Actuals!CE24)</f>
        <v/>
      </c>
      <c r="CE116" s="392">
        <f>IF(ISBLANK(Actuals!CF24),-Helpers!CC4*Assumptions!$B$22,Actuals!CF24)</f>
        <v/>
      </c>
      <c r="CF116" s="392">
        <f>IF(ISBLANK(Actuals!CG24),-Helpers!CD4*Assumptions!$B$22,Actuals!CG24)</f>
        <v/>
      </c>
      <c r="CG116" s="392">
        <f>IF(ISBLANK(Actuals!CH24),-Helpers!CE4*Assumptions!$B$22,Actuals!CH24)</f>
        <v/>
      </c>
      <c r="CH116" s="392">
        <f>IF(ISBLANK(Actuals!CI24),-Helpers!CF4*Assumptions!$B$22,Actuals!CI24)</f>
        <v/>
      </c>
      <c r="CI116" s="392">
        <f>IF(ISBLANK(Actuals!CJ24),-Helpers!CG4*Assumptions!$B$22,Actuals!CJ24)</f>
        <v/>
      </c>
      <c r="CJ116" s="392">
        <f>IF(ISBLANK(Actuals!CK24),-Helpers!CH4*Assumptions!$B$22,Actuals!CK24)</f>
        <v/>
      </c>
      <c r="CK116" s="392">
        <f>IF(ISBLANK(Actuals!CL24),-Helpers!CI4*Assumptions!$B$22,Actuals!CL24)</f>
        <v/>
      </c>
      <c r="CL116" s="392">
        <f>IF(ISBLANK(Actuals!CM24),-Helpers!CJ4*Assumptions!$B$22,Actuals!CM24)</f>
        <v/>
      </c>
      <c r="CM116" s="392">
        <f>IF(ISBLANK(Actuals!CN24),-Helpers!CK4*Assumptions!$B$22,Actuals!CN24)</f>
        <v/>
      </c>
      <c r="CN116" s="392">
        <f>IF(ISBLANK(Actuals!CO24),-Helpers!CL4*Assumptions!$B$22,Actuals!CO24)</f>
        <v/>
      </c>
      <c r="CO116" s="392">
        <f>IF(ISBLANK(Actuals!CP24),-Helpers!CM4*Assumptions!$B$22,Actuals!CP24)</f>
        <v/>
      </c>
      <c r="CP116" s="392">
        <f>IF(ISBLANK(Actuals!CQ24),-Helpers!CN4*Assumptions!$B$22,Actuals!CQ24)</f>
        <v/>
      </c>
      <c r="CQ116" s="392">
        <f>IF(ISBLANK(Actuals!CR24),-Helpers!CO4*Assumptions!$B$22,Actuals!CR24)</f>
        <v/>
      </c>
      <c r="CR116" s="392">
        <f>IF(ISBLANK(Actuals!CS24),-Helpers!CP4*Assumptions!$B$22,Actuals!CS24)</f>
        <v/>
      </c>
      <c r="CS116" s="392">
        <f>IF(ISBLANK(Actuals!CT24),-Helpers!CQ4*Assumptions!$B$22,Actuals!CT24)</f>
        <v/>
      </c>
      <c r="CT116" s="392">
        <f>IF(ISBLANK(Actuals!CU24),-Helpers!CR4*Assumptions!$B$22,Actuals!CU24)</f>
        <v/>
      </c>
      <c r="CU116" s="392">
        <f>IF(ISBLANK(Actuals!CV24),-Helpers!CS4*Assumptions!$B$22,Actuals!CV24)</f>
        <v/>
      </c>
      <c r="CV116" s="392">
        <f>IF(ISBLANK(Actuals!CW24),-Helpers!CT4*Assumptions!$B$22,Actuals!CW24)</f>
        <v/>
      </c>
      <c r="CW116" s="392">
        <f>IF(ISBLANK(Actuals!CX24),-Helpers!CU4*Assumptions!$B$22,Actuals!CX24)</f>
        <v/>
      </c>
      <c r="CX116" s="392">
        <f>IF(ISBLANK(Actuals!CY24),-Helpers!CV4*Assumptions!$B$22,Actuals!CY24)</f>
        <v/>
      </c>
      <c r="CY116" s="392">
        <f>IF(ISBLANK(Actuals!CZ24),-Helpers!CW4*Assumptions!$B$22,Actuals!CZ24)</f>
        <v/>
      </c>
      <c r="CZ116" s="392">
        <f>IF(ISBLANK(Actuals!DA24),-Helpers!CX4*Assumptions!$B$22,Actuals!DA24)</f>
        <v/>
      </c>
      <c r="DA116" s="392">
        <f>IF(ISBLANK(Actuals!DB24),-Helpers!CY4*Assumptions!$B$22,Actuals!DB24)</f>
        <v/>
      </c>
      <c r="DB116" s="392">
        <f>IF(ISBLANK(Actuals!DC24),-Helpers!CZ4*Assumptions!$B$22,Actuals!DC24)</f>
        <v/>
      </c>
      <c r="DC116" s="392">
        <f>IF(ISBLANK(Actuals!DD24),-Helpers!DA4*Assumptions!$B$22,Actuals!DD24)</f>
        <v/>
      </c>
      <c r="DD116" s="392">
        <f>IF(ISBLANK(Actuals!DE24),-Helpers!DB4*Assumptions!$B$22,Actuals!DE24)</f>
        <v/>
      </c>
      <c r="DE116" s="392">
        <f>IF(ISBLANK(Actuals!DF24),-Helpers!DC4*Assumptions!$B$22,Actuals!DF24)</f>
        <v/>
      </c>
    </row>
    <row r="117" ht="15" customFormat="1" customHeight="1" s="380">
      <c r="A117" s="397" t="inlineStr">
        <is>
          <t>5000-1003 Workers Comp</t>
        </is>
      </c>
      <c r="B117" s="392">
        <f>IF(ISBLANK(Actuals!C25),0,Actuals!C25)</f>
        <v/>
      </c>
      <c r="C117" s="392">
        <f>IF(ISBLANK(Actuals!D25),0,Actuals!D25)</f>
        <v/>
      </c>
      <c r="D117" s="392">
        <f>IF(ISBLANK(Actuals!E25),0,Actuals!E25)</f>
        <v/>
      </c>
      <c r="E117" s="392">
        <f>IF(ISBLANK(Actuals!F25),-Helpers!C4*Assumptions!$B$23,Actuals!F25)</f>
        <v/>
      </c>
      <c r="F117" s="392">
        <f>IF(ISBLANK(Actuals!G25),-Helpers!D4*Assumptions!$B$23,Actuals!G25)</f>
        <v/>
      </c>
      <c r="G117" s="392">
        <f>IF(ISBLANK(Actuals!H25),-Helpers!E4*Assumptions!$B$23,Actuals!H25)</f>
        <v/>
      </c>
      <c r="H117" s="392">
        <f>IF(ISBLANK(Actuals!I25),-Helpers!F4*Assumptions!$B$23,Actuals!I25)</f>
        <v/>
      </c>
      <c r="I117" s="392">
        <f>IF(ISBLANK(Actuals!J25),-Helpers!G4*Assumptions!$B$23,Actuals!J25)</f>
        <v/>
      </c>
      <c r="J117" s="392">
        <f>IF(ISBLANK(Actuals!K25),-Helpers!H4*Assumptions!$B$23,Actuals!K25)</f>
        <v/>
      </c>
      <c r="K117" s="392">
        <f>IF(ISBLANK(Actuals!L25),-Helpers!I4*Assumptions!$B$23,Actuals!L25)</f>
        <v/>
      </c>
      <c r="L117" s="392">
        <f>IF(ISBLANK(Actuals!M25),-Helpers!J4*Assumptions!$B$23,Actuals!M25)</f>
        <v/>
      </c>
      <c r="M117" s="392">
        <f>IF(ISBLANK(Actuals!N25),-Helpers!K4*Assumptions!$B$23,Actuals!N25)</f>
        <v/>
      </c>
      <c r="N117" s="392">
        <f>IF(ISBLANK(Actuals!O25),-Helpers!L4*Assumptions!$B$23,Actuals!O25)</f>
        <v/>
      </c>
      <c r="O117" s="392">
        <f>IF(ISBLANK(Actuals!P25),-Helpers!M4*Assumptions!$B$23,Actuals!P25)</f>
        <v/>
      </c>
      <c r="P117" s="392">
        <f>IF(ISBLANK(Actuals!Q25),-Helpers!N4*Assumptions!$B$23,Actuals!Q25)</f>
        <v/>
      </c>
      <c r="Q117" s="392">
        <f>IF(ISBLANK(Actuals!R25),-Helpers!O4*Assumptions!$B$23,Actuals!R25)</f>
        <v/>
      </c>
      <c r="R117" s="392">
        <f>IF(ISBLANK(Actuals!S25),-Helpers!P4*Assumptions!$B$23,Actuals!S25)</f>
        <v/>
      </c>
      <c r="S117" s="392">
        <f>IF(ISBLANK(Actuals!T25),-Helpers!Q4*Assumptions!$B$23,Actuals!T25)</f>
        <v/>
      </c>
      <c r="T117" s="392">
        <f>IF(ISBLANK(Actuals!U25),-Helpers!R4*Assumptions!$B$23,Actuals!U25)</f>
        <v/>
      </c>
      <c r="U117" s="392">
        <f>IF(ISBLANK(Actuals!V25),-Helpers!S4*Assumptions!$B$23,Actuals!V25)</f>
        <v/>
      </c>
      <c r="V117" s="392">
        <f>IF(ISBLANK(Actuals!W25),-Helpers!T4*Assumptions!$B$23,Actuals!W25)</f>
        <v/>
      </c>
      <c r="W117" s="392">
        <f>IF(ISBLANK(Actuals!X25),-Helpers!U4*Assumptions!$B$23,Actuals!X25)</f>
        <v/>
      </c>
      <c r="X117" s="392">
        <f>IF(ISBLANK(Actuals!Y25),-Helpers!V4*Assumptions!$B$23,Actuals!Y25)</f>
        <v/>
      </c>
      <c r="Y117" s="392">
        <f>IF(ISBLANK(Actuals!Z25),-Helpers!W4*Assumptions!$B$23,Actuals!Z25)</f>
        <v/>
      </c>
      <c r="Z117" s="392">
        <f>IF(ISBLANK(Actuals!AA25),-Helpers!X4*Assumptions!$B$23,Actuals!AA25)</f>
        <v/>
      </c>
      <c r="AA117" s="392">
        <f>IF(ISBLANK(Actuals!AB25),-Helpers!Y4*Assumptions!$B$23,Actuals!AB25)</f>
        <v/>
      </c>
      <c r="AB117" s="392">
        <f>IF(ISBLANK(Actuals!AC25),-Helpers!Z4*Assumptions!$B$23,Actuals!AC25)</f>
        <v/>
      </c>
      <c r="AC117" s="392">
        <f>IF(ISBLANK(Actuals!AD25),-Helpers!AA4*Assumptions!$B$23,Actuals!AD25)</f>
        <v/>
      </c>
      <c r="AD117" s="392">
        <f>IF(ISBLANK(Actuals!AE25),-Helpers!AB4*Assumptions!$B$23,Actuals!AE25)</f>
        <v/>
      </c>
      <c r="AE117" s="392">
        <f>IF(ISBLANK(Actuals!AF25),-Helpers!AC4*Assumptions!$B$23,Actuals!AF25)</f>
        <v/>
      </c>
      <c r="AF117" s="392">
        <f>IF(ISBLANK(Actuals!AG25),-Helpers!AD4*Assumptions!$B$23,Actuals!AG25)</f>
        <v/>
      </c>
      <c r="AG117" s="392">
        <f>IF(ISBLANK(Actuals!AH25),-Helpers!AE4*Assumptions!$B$23,Actuals!AH25)</f>
        <v/>
      </c>
      <c r="AH117" s="392">
        <f>IF(ISBLANK(Actuals!AI25),-Helpers!AF4*Assumptions!$B$23,Actuals!AI25)</f>
        <v/>
      </c>
      <c r="AI117" s="392">
        <f>IF(ISBLANK(Actuals!AJ25),-Helpers!AG4*Assumptions!$B$23,Actuals!AJ25)</f>
        <v/>
      </c>
      <c r="AJ117" s="392">
        <f>IF(ISBLANK(Actuals!AK25),-Helpers!AH4*Assumptions!$B$23,Actuals!AK25)</f>
        <v/>
      </c>
      <c r="AK117" s="392">
        <f>IF(ISBLANK(Actuals!AL25),-Helpers!AI4*Assumptions!$B$23,Actuals!AL25)</f>
        <v/>
      </c>
      <c r="AL117" s="392">
        <f>IF(ISBLANK(Actuals!AM25),-Helpers!AJ4*Assumptions!$B$23,Actuals!AM25)</f>
        <v/>
      </c>
      <c r="AM117" s="392">
        <f>IF(ISBLANK(Actuals!AN25),-Helpers!AK4*Assumptions!$B$23,Actuals!AN25)</f>
        <v/>
      </c>
      <c r="AN117" s="392">
        <f>IF(ISBLANK(Actuals!AO25),-Helpers!AL4*Assumptions!$B$23,Actuals!AO25)</f>
        <v/>
      </c>
      <c r="AO117" s="392">
        <f>IF(ISBLANK(Actuals!AP25),-Helpers!AM4*Assumptions!$B$23,Actuals!AP25)</f>
        <v/>
      </c>
      <c r="AP117" s="392">
        <f>IF(ISBLANK(Actuals!AQ25),-Helpers!AN4*Assumptions!$B$23,Actuals!AQ25)</f>
        <v/>
      </c>
      <c r="AQ117" s="392">
        <f>IF(ISBLANK(Actuals!AR25),-Helpers!AO4*Assumptions!$B$23,Actuals!AR25)</f>
        <v/>
      </c>
      <c r="AR117" s="392">
        <f>IF(ISBLANK(Actuals!AS25),-Helpers!AP4*Assumptions!$B$23,Actuals!AS25)</f>
        <v/>
      </c>
      <c r="AS117" s="392">
        <f>IF(ISBLANK(Actuals!AT25),-Helpers!AQ4*Assumptions!$B$23,Actuals!AT25)</f>
        <v/>
      </c>
      <c r="AT117" s="392">
        <f>IF(ISBLANK(Actuals!AU25),-Helpers!AR4*Assumptions!$B$23,Actuals!AU25)</f>
        <v/>
      </c>
      <c r="AU117" s="392">
        <f>IF(ISBLANK(Actuals!AV25),-Helpers!AS4*Assumptions!$B$23,Actuals!AV25)</f>
        <v/>
      </c>
      <c r="AV117" s="392">
        <f>IF(ISBLANK(Actuals!AW25),-Helpers!AT4*Assumptions!$B$23,Actuals!AW25)</f>
        <v/>
      </c>
      <c r="AW117" s="392">
        <f>IF(ISBLANK(Actuals!AX25),-Helpers!AU4*Assumptions!$B$23,Actuals!AX25)</f>
        <v/>
      </c>
      <c r="AX117" s="392">
        <f>IF(ISBLANK(Actuals!AY25),-Helpers!AV4*Assumptions!$B$23,Actuals!AY25)</f>
        <v/>
      </c>
      <c r="AY117" s="392">
        <f>IF(ISBLANK(Actuals!AZ25),-Helpers!AW4*Assumptions!$B$23,Actuals!AZ25)</f>
        <v/>
      </c>
      <c r="AZ117" s="392">
        <f>IF(ISBLANK(Actuals!BA25),-Helpers!AX4*Assumptions!$B$23,Actuals!BA25)</f>
        <v/>
      </c>
      <c r="BA117" s="392">
        <f>IF(ISBLANK(Actuals!BB25),-Helpers!AY4*Assumptions!$B$23,Actuals!BB25)</f>
        <v/>
      </c>
      <c r="BB117" s="392">
        <f>IF(ISBLANK(Actuals!BC25),-Helpers!AZ4*Assumptions!$B$23,Actuals!BC25)</f>
        <v/>
      </c>
      <c r="BC117" s="392">
        <f>IF(ISBLANK(Actuals!BD25),-Helpers!BA4*Assumptions!$B$23,Actuals!BD25)</f>
        <v/>
      </c>
      <c r="BD117" s="392">
        <f>IF(ISBLANK(Actuals!BE25),-Helpers!BB4*Assumptions!$B$23,Actuals!BE25)</f>
        <v/>
      </c>
      <c r="BE117" s="392">
        <f>IF(ISBLANK(Actuals!BF25),-Helpers!BC4*Assumptions!$B$23,Actuals!BF25)</f>
        <v/>
      </c>
      <c r="BF117" s="392">
        <f>IF(ISBLANK(Actuals!BG25),-Helpers!BD4*Assumptions!$B$23,Actuals!BG25)</f>
        <v/>
      </c>
      <c r="BG117" s="392">
        <f>IF(ISBLANK(Actuals!BH25),-Helpers!BE4*Assumptions!$B$23,Actuals!BH25)</f>
        <v/>
      </c>
      <c r="BH117" s="392">
        <f>IF(ISBLANK(Actuals!BI25),-Helpers!BF4*Assumptions!$B$23,Actuals!BI25)</f>
        <v/>
      </c>
      <c r="BI117" s="392">
        <f>IF(ISBLANK(Actuals!BJ25),-Helpers!BG4*Assumptions!$B$23,Actuals!BJ25)</f>
        <v/>
      </c>
      <c r="BJ117" s="392">
        <f>IF(ISBLANK(Actuals!BK25),-Helpers!BH4*Assumptions!$B$23,Actuals!BK25)</f>
        <v/>
      </c>
      <c r="BK117" s="392">
        <f>IF(ISBLANK(Actuals!BL25),-Helpers!BI4*Assumptions!$B$23,Actuals!BL25)</f>
        <v/>
      </c>
      <c r="BL117" s="392">
        <f>IF(ISBLANK(Actuals!BM25),-Helpers!BJ4*Assumptions!$B$23,Actuals!BM25)</f>
        <v/>
      </c>
      <c r="BM117" s="392">
        <f>IF(ISBLANK(Actuals!BN25),-Helpers!BK4*Assumptions!$B$23,Actuals!BN25)</f>
        <v/>
      </c>
      <c r="BN117" s="392">
        <f>IF(ISBLANK(Actuals!BO25),-Helpers!BL4*Assumptions!$B$23,Actuals!BO25)</f>
        <v/>
      </c>
      <c r="BO117" s="392">
        <f>IF(ISBLANK(Actuals!BP25),-Helpers!BM4*Assumptions!$B$23,Actuals!BP25)</f>
        <v/>
      </c>
      <c r="BP117" s="392">
        <f>IF(ISBLANK(Actuals!BQ25),-Helpers!BN4*Assumptions!$B$23,Actuals!BQ25)</f>
        <v/>
      </c>
      <c r="BQ117" s="392">
        <f>IF(ISBLANK(Actuals!BR25),-Helpers!BO4*Assumptions!$B$23,Actuals!BR25)</f>
        <v/>
      </c>
      <c r="BR117" s="392">
        <f>IF(ISBLANK(Actuals!BS25),-Helpers!BP4*Assumptions!$B$23,Actuals!BS25)</f>
        <v/>
      </c>
      <c r="BS117" s="392">
        <f>IF(ISBLANK(Actuals!BT25),-Helpers!BQ4*Assumptions!$B$23,Actuals!BT25)</f>
        <v/>
      </c>
      <c r="BT117" s="392">
        <f>IF(ISBLANK(Actuals!BU25),-Helpers!BR4*Assumptions!$B$23,Actuals!BU25)</f>
        <v/>
      </c>
      <c r="BU117" s="392">
        <f>IF(ISBLANK(Actuals!BV25),-Helpers!BS4*Assumptions!$B$23,Actuals!BV25)</f>
        <v/>
      </c>
      <c r="BV117" s="392">
        <f>IF(ISBLANK(Actuals!BW25),-Helpers!BT4*Assumptions!$B$23,Actuals!BW25)</f>
        <v/>
      </c>
      <c r="BW117" s="392">
        <f>IF(ISBLANK(Actuals!BX25),-Helpers!BU4*Assumptions!$B$23,Actuals!BX25)</f>
        <v/>
      </c>
      <c r="BX117" s="392">
        <f>IF(ISBLANK(Actuals!BY25),-Helpers!BV4*Assumptions!$B$23,Actuals!BY25)</f>
        <v/>
      </c>
      <c r="BY117" s="392">
        <f>IF(ISBLANK(Actuals!BZ25),-Helpers!BW4*Assumptions!$B$23,Actuals!BZ25)</f>
        <v/>
      </c>
      <c r="BZ117" s="392">
        <f>IF(ISBLANK(Actuals!CA25),-Helpers!BX4*Assumptions!$B$23,Actuals!CA25)</f>
        <v/>
      </c>
      <c r="CA117" s="392">
        <f>IF(ISBLANK(Actuals!CB25),-Helpers!BY4*Assumptions!$B$23,Actuals!CB25)</f>
        <v/>
      </c>
      <c r="CB117" s="392">
        <f>IF(ISBLANK(Actuals!CC25),-Helpers!BZ4*Assumptions!$B$23,Actuals!CC25)</f>
        <v/>
      </c>
      <c r="CC117" s="392">
        <f>IF(ISBLANK(Actuals!CD25),-Helpers!CA4*Assumptions!$B$23,Actuals!CD25)</f>
        <v/>
      </c>
      <c r="CD117" s="392">
        <f>IF(ISBLANK(Actuals!CE25),-Helpers!CB4*Assumptions!$B$23,Actuals!CE25)</f>
        <v/>
      </c>
      <c r="CE117" s="392">
        <f>IF(ISBLANK(Actuals!CF25),-Helpers!CC4*Assumptions!$B$23,Actuals!CF25)</f>
        <v/>
      </c>
      <c r="CF117" s="392">
        <f>IF(ISBLANK(Actuals!CG25),-Helpers!CD4*Assumptions!$B$23,Actuals!CG25)</f>
        <v/>
      </c>
      <c r="CG117" s="392">
        <f>IF(ISBLANK(Actuals!CH25),-Helpers!CE4*Assumptions!$B$23,Actuals!CH25)</f>
        <v/>
      </c>
      <c r="CH117" s="392">
        <f>IF(ISBLANK(Actuals!CI25),-Helpers!CF4*Assumptions!$B$23,Actuals!CI25)</f>
        <v/>
      </c>
      <c r="CI117" s="392">
        <f>IF(ISBLANK(Actuals!CJ25),-Helpers!CG4*Assumptions!$B$23,Actuals!CJ25)</f>
        <v/>
      </c>
      <c r="CJ117" s="392">
        <f>IF(ISBLANK(Actuals!CK25),-Helpers!CH4*Assumptions!$B$23,Actuals!CK25)</f>
        <v/>
      </c>
      <c r="CK117" s="392">
        <f>IF(ISBLANK(Actuals!CL25),-Helpers!CI4*Assumptions!$B$23,Actuals!CL25)</f>
        <v/>
      </c>
      <c r="CL117" s="392">
        <f>IF(ISBLANK(Actuals!CM25),-Helpers!CJ4*Assumptions!$B$23,Actuals!CM25)</f>
        <v/>
      </c>
      <c r="CM117" s="392">
        <f>IF(ISBLANK(Actuals!CN25),-Helpers!CK4*Assumptions!$B$23,Actuals!CN25)</f>
        <v/>
      </c>
      <c r="CN117" s="392">
        <f>IF(ISBLANK(Actuals!CO25),-Helpers!CL4*Assumptions!$B$23,Actuals!CO25)</f>
        <v/>
      </c>
      <c r="CO117" s="392">
        <f>IF(ISBLANK(Actuals!CP25),-Helpers!CM4*Assumptions!$B$23,Actuals!CP25)</f>
        <v/>
      </c>
      <c r="CP117" s="392">
        <f>IF(ISBLANK(Actuals!CQ25),-Helpers!CN4*Assumptions!$B$23,Actuals!CQ25)</f>
        <v/>
      </c>
      <c r="CQ117" s="392">
        <f>IF(ISBLANK(Actuals!CR25),-Helpers!CO4*Assumptions!$B$23,Actuals!CR25)</f>
        <v/>
      </c>
      <c r="CR117" s="392">
        <f>IF(ISBLANK(Actuals!CS25),-Helpers!CP4*Assumptions!$B$23,Actuals!CS25)</f>
        <v/>
      </c>
      <c r="CS117" s="392">
        <f>IF(ISBLANK(Actuals!CT25),-Helpers!CQ4*Assumptions!$B$23,Actuals!CT25)</f>
        <v/>
      </c>
      <c r="CT117" s="392">
        <f>IF(ISBLANK(Actuals!CU25),-Helpers!CR4*Assumptions!$B$23,Actuals!CU25)</f>
        <v/>
      </c>
      <c r="CU117" s="392">
        <f>IF(ISBLANK(Actuals!CV25),-Helpers!CS4*Assumptions!$B$23,Actuals!CV25)</f>
        <v/>
      </c>
      <c r="CV117" s="392">
        <f>IF(ISBLANK(Actuals!CW25),-Helpers!CT4*Assumptions!$B$23,Actuals!CW25)</f>
        <v/>
      </c>
      <c r="CW117" s="392">
        <f>IF(ISBLANK(Actuals!CX25),-Helpers!CU4*Assumptions!$B$23,Actuals!CX25)</f>
        <v/>
      </c>
      <c r="CX117" s="392">
        <f>IF(ISBLANK(Actuals!CY25),-Helpers!CV4*Assumptions!$B$23,Actuals!CY25)</f>
        <v/>
      </c>
      <c r="CY117" s="392">
        <f>IF(ISBLANK(Actuals!CZ25),-Helpers!CW4*Assumptions!$B$23,Actuals!CZ25)</f>
        <v/>
      </c>
      <c r="CZ117" s="392">
        <f>IF(ISBLANK(Actuals!DA25),-Helpers!CX4*Assumptions!$B$23,Actuals!DA25)</f>
        <v/>
      </c>
      <c r="DA117" s="392">
        <f>IF(ISBLANK(Actuals!DB25),-Helpers!CY4*Assumptions!$B$23,Actuals!DB25)</f>
        <v/>
      </c>
      <c r="DB117" s="392">
        <f>IF(ISBLANK(Actuals!DC25),-Helpers!CZ4*Assumptions!$B$23,Actuals!DC25)</f>
        <v/>
      </c>
      <c r="DC117" s="392">
        <f>IF(ISBLANK(Actuals!DD25),-Helpers!DA4*Assumptions!$B$23,Actuals!DD25)</f>
        <v/>
      </c>
      <c r="DD117" s="392">
        <f>IF(ISBLANK(Actuals!DE25),-Helpers!DB4*Assumptions!$B$23,Actuals!DE25)</f>
        <v/>
      </c>
      <c r="DE117" s="392">
        <f>IF(ISBLANK(Actuals!DF25),-Helpers!DC4*Assumptions!$B$23,Actuals!DF25)</f>
        <v/>
      </c>
    </row>
    <row r="118" ht="15" customFormat="1" customHeight="1" s="380">
      <c r="A118" s="397" t="inlineStr">
        <is>
          <t>5000-1005 Payroll Servicing Fees</t>
        </is>
      </c>
      <c r="B118" s="392">
        <f>IF(ISBLANK(Actuals!C26),0,Actuals!C26)</f>
        <v/>
      </c>
      <c r="C118" s="392">
        <f>IF(ISBLANK(Actuals!D26),0,Actuals!D26)</f>
        <v/>
      </c>
      <c r="D118" s="392">
        <f>IF(ISBLANK(Actuals!E26),0,Actuals!E26)</f>
        <v/>
      </c>
      <c r="E118" s="392">
        <f>IF(ISBLANK(Actuals!F26),-Helpers!C4*Assumptions!$B$21,Actuals!F26)</f>
        <v/>
      </c>
      <c r="F118" s="392">
        <f>IF(ISBLANK(Actuals!G26),-Helpers!D4*Assumptions!$B$21,Actuals!G26)</f>
        <v/>
      </c>
      <c r="G118" s="392">
        <f>IF(ISBLANK(Actuals!H26),-Helpers!E4*Assumptions!$B$21,Actuals!H26)</f>
        <v/>
      </c>
      <c r="H118" s="392">
        <f>IF(ISBLANK(Actuals!I26),-Helpers!F4*Assumptions!$B$21,Actuals!I26)</f>
        <v/>
      </c>
      <c r="I118" s="392">
        <f>IF(ISBLANK(Actuals!J26),-Helpers!G4*Assumptions!$B$21,Actuals!J26)</f>
        <v/>
      </c>
      <c r="J118" s="392">
        <f>IF(ISBLANK(Actuals!K26),-Helpers!H4*Assumptions!$B$21,Actuals!K26)</f>
        <v/>
      </c>
      <c r="K118" s="392">
        <f>IF(ISBLANK(Actuals!L26),-Helpers!I4*Assumptions!$B$21,Actuals!L26)</f>
        <v/>
      </c>
      <c r="L118" s="392">
        <f>IF(ISBLANK(Actuals!M26),-Helpers!J4*Assumptions!$B$21,Actuals!M26)</f>
        <v/>
      </c>
      <c r="M118" s="392">
        <f>IF(ISBLANK(Actuals!N26),-Helpers!K4*Assumptions!$B$21,Actuals!N26)</f>
        <v/>
      </c>
      <c r="N118" s="392">
        <f>IF(ISBLANK(Actuals!O26),-Helpers!L4*Assumptions!$B$21,Actuals!O26)</f>
        <v/>
      </c>
      <c r="O118" s="392">
        <f>IF(ISBLANK(Actuals!P26),-Helpers!M4*Assumptions!$B$21,Actuals!P26)</f>
        <v/>
      </c>
      <c r="P118" s="392">
        <f>IF(ISBLANK(Actuals!Q26),-Helpers!N4*Assumptions!$B$21,Actuals!Q26)</f>
        <v/>
      </c>
      <c r="Q118" s="392">
        <f>IF(ISBLANK(Actuals!R26),-Helpers!O4*Assumptions!$B$21,Actuals!R26)</f>
        <v/>
      </c>
      <c r="R118" s="392">
        <f>IF(ISBLANK(Actuals!S26),-Helpers!P4*Assumptions!$B$21,Actuals!S26)</f>
        <v/>
      </c>
      <c r="S118" s="392">
        <f>IF(ISBLANK(Actuals!T26),-Helpers!Q4*Assumptions!$B$21,Actuals!T26)</f>
        <v/>
      </c>
      <c r="T118" s="392">
        <f>IF(ISBLANK(Actuals!U26),-Helpers!R4*Assumptions!$B$21,Actuals!U26)</f>
        <v/>
      </c>
      <c r="U118" s="392">
        <f>IF(ISBLANK(Actuals!V26),-Helpers!S4*Assumptions!$B$21,Actuals!V26)</f>
        <v/>
      </c>
      <c r="V118" s="392">
        <f>IF(ISBLANK(Actuals!W26),-Helpers!T4*Assumptions!$B$21,Actuals!W26)</f>
        <v/>
      </c>
      <c r="W118" s="392">
        <f>IF(ISBLANK(Actuals!X26),-Helpers!U4*Assumptions!$B$21,Actuals!X26)</f>
        <v/>
      </c>
      <c r="X118" s="392">
        <f>IF(ISBLANK(Actuals!Y26),-Helpers!V4*Assumptions!$B$21,Actuals!Y26)</f>
        <v/>
      </c>
      <c r="Y118" s="392">
        <f>IF(ISBLANK(Actuals!Z26),-Helpers!W4*Assumptions!$B$21,Actuals!Z26)</f>
        <v/>
      </c>
      <c r="Z118" s="392">
        <f>IF(ISBLANK(Actuals!AA26),-Helpers!X4*Assumptions!$B$21,Actuals!AA26)</f>
        <v/>
      </c>
      <c r="AA118" s="392">
        <f>IF(ISBLANK(Actuals!AB26),-Helpers!Y4*Assumptions!$B$21,Actuals!AB26)</f>
        <v/>
      </c>
      <c r="AB118" s="392">
        <f>IF(ISBLANK(Actuals!AC26),-Helpers!Z4*Assumptions!$B$21,Actuals!AC26)</f>
        <v/>
      </c>
      <c r="AC118" s="392">
        <f>IF(ISBLANK(Actuals!AD26),-Helpers!AA4*Assumptions!$B$21,Actuals!AD26)</f>
        <v/>
      </c>
      <c r="AD118" s="392">
        <f>IF(ISBLANK(Actuals!AE26),-Helpers!AB4*Assumptions!$B$21,Actuals!AE26)</f>
        <v/>
      </c>
      <c r="AE118" s="392">
        <f>IF(ISBLANK(Actuals!AF26),-Helpers!AC4*Assumptions!$B$21,Actuals!AF26)</f>
        <v/>
      </c>
      <c r="AF118" s="392">
        <f>IF(ISBLANK(Actuals!AG26),-Helpers!AD4*Assumptions!$B$21,Actuals!AG26)</f>
        <v/>
      </c>
      <c r="AG118" s="392">
        <f>IF(ISBLANK(Actuals!AH26),-Helpers!AE4*Assumptions!$B$21,Actuals!AH26)</f>
        <v/>
      </c>
      <c r="AH118" s="392">
        <f>IF(ISBLANK(Actuals!AI26),-Helpers!AF4*Assumptions!$B$21,Actuals!AI26)</f>
        <v/>
      </c>
      <c r="AI118" s="392">
        <f>IF(ISBLANK(Actuals!AJ26),-Helpers!AG4*Assumptions!$B$21,Actuals!AJ26)</f>
        <v/>
      </c>
      <c r="AJ118" s="392">
        <f>IF(ISBLANK(Actuals!AK26),-Helpers!AH4*Assumptions!$B$21,Actuals!AK26)</f>
        <v/>
      </c>
      <c r="AK118" s="392">
        <f>IF(ISBLANK(Actuals!AL26),-Helpers!AI4*Assumptions!$B$21,Actuals!AL26)</f>
        <v/>
      </c>
      <c r="AL118" s="392">
        <f>IF(ISBLANK(Actuals!AM26),-Helpers!AJ4*Assumptions!$B$21,Actuals!AM26)</f>
        <v/>
      </c>
      <c r="AM118" s="392">
        <f>IF(ISBLANK(Actuals!AN26),-Helpers!AK4*Assumptions!$B$21,Actuals!AN26)</f>
        <v/>
      </c>
      <c r="AN118" s="392">
        <f>IF(ISBLANK(Actuals!AO26),-Helpers!AL4*Assumptions!$B$21,Actuals!AO26)</f>
        <v/>
      </c>
      <c r="AO118" s="392">
        <f>IF(ISBLANK(Actuals!AP26),-Helpers!AM4*Assumptions!$B$21,Actuals!AP26)</f>
        <v/>
      </c>
      <c r="AP118" s="392">
        <f>IF(ISBLANK(Actuals!AQ26),-Helpers!AN4*Assumptions!$B$21,Actuals!AQ26)</f>
        <v/>
      </c>
      <c r="AQ118" s="392">
        <f>IF(ISBLANK(Actuals!AR26),-Helpers!AO4*Assumptions!$B$21,Actuals!AR26)</f>
        <v/>
      </c>
      <c r="AR118" s="392">
        <f>IF(ISBLANK(Actuals!AS26),-Helpers!AP4*Assumptions!$B$21,Actuals!AS26)</f>
        <v/>
      </c>
      <c r="AS118" s="392">
        <f>IF(ISBLANK(Actuals!AT26),-Helpers!AQ4*Assumptions!$B$21,Actuals!AT26)</f>
        <v/>
      </c>
      <c r="AT118" s="392">
        <f>IF(ISBLANK(Actuals!AU26),-Helpers!AR4*Assumptions!$B$21,Actuals!AU26)</f>
        <v/>
      </c>
      <c r="AU118" s="392">
        <f>IF(ISBLANK(Actuals!AV26),-Helpers!AS4*Assumptions!$B$21,Actuals!AV26)</f>
        <v/>
      </c>
      <c r="AV118" s="392">
        <f>IF(ISBLANK(Actuals!AW26),-Helpers!AT4*Assumptions!$B$21,Actuals!AW26)</f>
        <v/>
      </c>
      <c r="AW118" s="392">
        <f>IF(ISBLANK(Actuals!AX26),-Helpers!AU4*Assumptions!$B$21,Actuals!AX26)</f>
        <v/>
      </c>
      <c r="AX118" s="392">
        <f>IF(ISBLANK(Actuals!AY26),-Helpers!AV4*Assumptions!$B$21,Actuals!AY26)</f>
        <v/>
      </c>
      <c r="AY118" s="392">
        <f>IF(ISBLANK(Actuals!AZ26),-Helpers!AW4*Assumptions!$B$21,Actuals!AZ26)</f>
        <v/>
      </c>
      <c r="AZ118" s="392">
        <f>IF(ISBLANK(Actuals!BA26),-Helpers!AX4*Assumptions!$B$21,Actuals!BA26)</f>
        <v/>
      </c>
      <c r="BA118" s="392">
        <f>IF(ISBLANK(Actuals!BB26),-Helpers!AY4*Assumptions!$B$21,Actuals!BB26)</f>
        <v/>
      </c>
      <c r="BB118" s="392">
        <f>IF(ISBLANK(Actuals!BC26),-Helpers!AZ4*Assumptions!$B$21,Actuals!BC26)</f>
        <v/>
      </c>
      <c r="BC118" s="392">
        <f>IF(ISBLANK(Actuals!BD26),-Helpers!BA4*Assumptions!$B$21,Actuals!BD26)</f>
        <v/>
      </c>
      <c r="BD118" s="392">
        <f>IF(ISBLANK(Actuals!BE26),-Helpers!BB4*Assumptions!$B$21,Actuals!BE26)</f>
        <v/>
      </c>
      <c r="BE118" s="392">
        <f>IF(ISBLANK(Actuals!BF26),-Helpers!BC4*Assumptions!$B$21,Actuals!BF26)</f>
        <v/>
      </c>
      <c r="BF118" s="392">
        <f>IF(ISBLANK(Actuals!BG26),-Helpers!BD4*Assumptions!$B$21,Actuals!BG26)</f>
        <v/>
      </c>
      <c r="BG118" s="392">
        <f>IF(ISBLANK(Actuals!BH26),-Helpers!BE4*Assumptions!$B$21,Actuals!BH26)</f>
        <v/>
      </c>
      <c r="BH118" s="392">
        <f>IF(ISBLANK(Actuals!BI26),-Helpers!BF4*Assumptions!$B$21,Actuals!BI26)</f>
        <v/>
      </c>
      <c r="BI118" s="392">
        <f>IF(ISBLANK(Actuals!BJ26),-Helpers!BG4*Assumptions!$B$21,Actuals!BJ26)</f>
        <v/>
      </c>
      <c r="BJ118" s="392">
        <f>IF(ISBLANK(Actuals!BK26),-Helpers!BH4*Assumptions!$B$21,Actuals!BK26)</f>
        <v/>
      </c>
      <c r="BK118" s="392">
        <f>IF(ISBLANK(Actuals!BL26),-Helpers!BI4*Assumptions!$B$21,Actuals!BL26)</f>
        <v/>
      </c>
      <c r="BL118" s="392">
        <f>IF(ISBLANK(Actuals!BM26),-Helpers!BJ4*Assumptions!$B$21,Actuals!BM26)</f>
        <v/>
      </c>
      <c r="BM118" s="392">
        <f>IF(ISBLANK(Actuals!BN26),-Helpers!BK4*Assumptions!$B$21,Actuals!BN26)</f>
        <v/>
      </c>
      <c r="BN118" s="392">
        <f>IF(ISBLANK(Actuals!BO26),-Helpers!BL4*Assumptions!$B$21,Actuals!BO26)</f>
        <v/>
      </c>
      <c r="BO118" s="392">
        <f>IF(ISBLANK(Actuals!BP26),-Helpers!BM4*Assumptions!$B$21,Actuals!BP26)</f>
        <v/>
      </c>
      <c r="BP118" s="392">
        <f>IF(ISBLANK(Actuals!BQ26),-Helpers!BN4*Assumptions!$B$21,Actuals!BQ26)</f>
        <v/>
      </c>
      <c r="BQ118" s="392">
        <f>IF(ISBLANK(Actuals!BR26),-Helpers!BO4*Assumptions!$B$21,Actuals!BR26)</f>
        <v/>
      </c>
      <c r="BR118" s="392">
        <f>IF(ISBLANK(Actuals!BS26),-Helpers!BP4*Assumptions!$B$21,Actuals!BS26)</f>
        <v/>
      </c>
      <c r="BS118" s="392">
        <f>IF(ISBLANK(Actuals!BT26),-Helpers!BQ4*Assumptions!$B$21,Actuals!BT26)</f>
        <v/>
      </c>
      <c r="BT118" s="392">
        <f>IF(ISBLANK(Actuals!BU26),-Helpers!BR4*Assumptions!$B$21,Actuals!BU26)</f>
        <v/>
      </c>
      <c r="BU118" s="392">
        <f>IF(ISBLANK(Actuals!BV26),-Helpers!BS4*Assumptions!$B$21,Actuals!BV26)</f>
        <v/>
      </c>
      <c r="BV118" s="392">
        <f>IF(ISBLANK(Actuals!BW26),-Helpers!BT4*Assumptions!$B$21,Actuals!BW26)</f>
        <v/>
      </c>
      <c r="BW118" s="392">
        <f>IF(ISBLANK(Actuals!BX26),-Helpers!BU4*Assumptions!$B$21,Actuals!BX26)</f>
        <v/>
      </c>
      <c r="BX118" s="392">
        <f>IF(ISBLANK(Actuals!BY26),-Helpers!BV4*Assumptions!$B$21,Actuals!BY26)</f>
        <v/>
      </c>
      <c r="BY118" s="392">
        <f>IF(ISBLANK(Actuals!BZ26),-Helpers!BW4*Assumptions!$B$21,Actuals!BZ26)</f>
        <v/>
      </c>
      <c r="BZ118" s="392">
        <f>IF(ISBLANK(Actuals!CA26),-Helpers!BX4*Assumptions!$B$21,Actuals!CA26)</f>
        <v/>
      </c>
      <c r="CA118" s="392">
        <f>IF(ISBLANK(Actuals!CB26),-Helpers!BY4*Assumptions!$B$21,Actuals!CB26)</f>
        <v/>
      </c>
      <c r="CB118" s="392">
        <f>IF(ISBLANK(Actuals!CC26),-Helpers!BZ4*Assumptions!$B$21,Actuals!CC26)</f>
        <v/>
      </c>
      <c r="CC118" s="392">
        <f>IF(ISBLANK(Actuals!CD26),-Helpers!CA4*Assumptions!$B$21,Actuals!CD26)</f>
        <v/>
      </c>
      <c r="CD118" s="392">
        <f>IF(ISBLANK(Actuals!CE26),-Helpers!CB4*Assumptions!$B$21,Actuals!CE26)</f>
        <v/>
      </c>
      <c r="CE118" s="392">
        <f>IF(ISBLANK(Actuals!CF26),-Helpers!CC4*Assumptions!$B$21,Actuals!CF26)</f>
        <v/>
      </c>
      <c r="CF118" s="392">
        <f>IF(ISBLANK(Actuals!CG26),-Helpers!CD4*Assumptions!$B$21,Actuals!CG26)</f>
        <v/>
      </c>
      <c r="CG118" s="392">
        <f>IF(ISBLANK(Actuals!CH26),-Helpers!CE4*Assumptions!$B$21,Actuals!CH26)</f>
        <v/>
      </c>
      <c r="CH118" s="392">
        <f>IF(ISBLANK(Actuals!CI26),-Helpers!CF4*Assumptions!$B$21,Actuals!CI26)</f>
        <v/>
      </c>
      <c r="CI118" s="392">
        <f>IF(ISBLANK(Actuals!CJ26),-Helpers!CG4*Assumptions!$B$21,Actuals!CJ26)</f>
        <v/>
      </c>
      <c r="CJ118" s="392">
        <f>IF(ISBLANK(Actuals!CK26),-Helpers!CH4*Assumptions!$B$21,Actuals!CK26)</f>
        <v/>
      </c>
      <c r="CK118" s="392">
        <f>IF(ISBLANK(Actuals!CL26),-Helpers!CI4*Assumptions!$B$21,Actuals!CL26)</f>
        <v/>
      </c>
      <c r="CL118" s="392">
        <f>IF(ISBLANK(Actuals!CM26),-Helpers!CJ4*Assumptions!$B$21,Actuals!CM26)</f>
        <v/>
      </c>
      <c r="CM118" s="392">
        <f>IF(ISBLANK(Actuals!CN26),-Helpers!CK4*Assumptions!$B$21,Actuals!CN26)</f>
        <v/>
      </c>
      <c r="CN118" s="392">
        <f>IF(ISBLANK(Actuals!CO26),-Helpers!CL4*Assumptions!$B$21,Actuals!CO26)</f>
        <v/>
      </c>
      <c r="CO118" s="392">
        <f>IF(ISBLANK(Actuals!CP26),-Helpers!CM4*Assumptions!$B$21,Actuals!CP26)</f>
        <v/>
      </c>
      <c r="CP118" s="392">
        <f>IF(ISBLANK(Actuals!CQ26),-Helpers!CN4*Assumptions!$B$21,Actuals!CQ26)</f>
        <v/>
      </c>
      <c r="CQ118" s="392">
        <f>IF(ISBLANK(Actuals!CR26),-Helpers!CO4*Assumptions!$B$21,Actuals!CR26)</f>
        <v/>
      </c>
      <c r="CR118" s="392">
        <f>IF(ISBLANK(Actuals!CS26),-Helpers!CP4*Assumptions!$B$21,Actuals!CS26)</f>
        <v/>
      </c>
      <c r="CS118" s="392">
        <f>IF(ISBLANK(Actuals!CT26),-Helpers!CQ4*Assumptions!$B$21,Actuals!CT26)</f>
        <v/>
      </c>
      <c r="CT118" s="392">
        <f>IF(ISBLANK(Actuals!CU26),-Helpers!CR4*Assumptions!$B$21,Actuals!CU26)</f>
        <v/>
      </c>
      <c r="CU118" s="392">
        <f>IF(ISBLANK(Actuals!CV26),-Helpers!CS4*Assumptions!$B$21,Actuals!CV26)</f>
        <v/>
      </c>
      <c r="CV118" s="392">
        <f>IF(ISBLANK(Actuals!CW26),-Helpers!CT4*Assumptions!$B$21,Actuals!CW26)</f>
        <v/>
      </c>
      <c r="CW118" s="392">
        <f>IF(ISBLANK(Actuals!CX26),-Helpers!CU4*Assumptions!$B$21,Actuals!CX26)</f>
        <v/>
      </c>
      <c r="CX118" s="392">
        <f>IF(ISBLANK(Actuals!CY26),-Helpers!CV4*Assumptions!$B$21,Actuals!CY26)</f>
        <v/>
      </c>
      <c r="CY118" s="392">
        <f>IF(ISBLANK(Actuals!CZ26),-Helpers!CW4*Assumptions!$B$21,Actuals!CZ26)</f>
        <v/>
      </c>
      <c r="CZ118" s="392">
        <f>IF(ISBLANK(Actuals!DA26),-Helpers!CX4*Assumptions!$B$21,Actuals!DA26)</f>
        <v/>
      </c>
      <c r="DA118" s="392">
        <f>IF(ISBLANK(Actuals!DB26),-Helpers!CY4*Assumptions!$B$21,Actuals!DB26)</f>
        <v/>
      </c>
      <c r="DB118" s="392">
        <f>IF(ISBLANK(Actuals!DC26),-Helpers!CZ4*Assumptions!$B$21,Actuals!DC26)</f>
        <v/>
      </c>
      <c r="DC118" s="392">
        <f>IF(ISBLANK(Actuals!DD26),-Helpers!DA4*Assumptions!$B$21,Actuals!DD26)</f>
        <v/>
      </c>
      <c r="DD118" s="392">
        <f>IF(ISBLANK(Actuals!DE26),-Helpers!DB4*Assumptions!$B$21,Actuals!DE26)</f>
        <v/>
      </c>
      <c r="DE118" s="392">
        <f>IF(ISBLANK(Actuals!DF26),-Helpers!DC4*Assumptions!$B$21,Actuals!DF26)</f>
        <v/>
      </c>
    </row>
    <row r="119" ht="15" customFormat="1" customHeight="1" s="380">
      <c r="A119" s="397" t="inlineStr">
        <is>
          <t>5000-1007 Payroll - Consultants</t>
        </is>
      </c>
      <c r="B119" s="392">
        <f>IF(ISBLANK(Actuals!C27),0,Actuals!C27)</f>
        <v/>
      </c>
      <c r="C119" s="392">
        <f>IF(ISBLANK(Actuals!D27),0,Actuals!D27)</f>
        <v/>
      </c>
      <c r="D119" s="392">
        <f>IF(ISBLANK(Actuals!E27),0,Actuals!E27)</f>
        <v/>
      </c>
      <c r="E119" s="392">
        <f>IF(ISBLANK(Actuals!F27),-29166.66*Escalation!$B$2,Actuals!F27)</f>
        <v/>
      </c>
      <c r="F119" s="392">
        <f>IF(ISBLANK(Actuals!G27),-29166.66*Escalation!$B$3,Actuals!G27)</f>
        <v/>
      </c>
      <c r="G119" s="392">
        <f>IF(ISBLANK(Actuals!H27),-29166.66*Escalation!$B$4,Actuals!H27)</f>
        <v/>
      </c>
      <c r="H119" s="392">
        <f>IF(ISBLANK(Actuals!I27),-29166.66*Escalation!$B$5,Actuals!I27)</f>
        <v/>
      </c>
      <c r="I119" s="392">
        <f>IF(ISBLANK(Actuals!J27),-29166.66*Escalation!$B$6,Actuals!J27)</f>
        <v/>
      </c>
      <c r="J119" s="392">
        <f>IF(ISBLANK(Actuals!K27),-29166.66*Escalation!$B$7,Actuals!K27)</f>
        <v/>
      </c>
      <c r="K119" s="392">
        <f>IF(ISBLANK(Actuals!L27),-29166.66*Escalation!$B$8,Actuals!L27)</f>
        <v/>
      </c>
      <c r="L119" s="392">
        <f>IF(ISBLANK(Actuals!M27),-29166.66*Escalation!$B$9,Actuals!M27)</f>
        <v/>
      </c>
      <c r="M119" s="392">
        <f>IF(ISBLANK(Actuals!N27),-29166.66*Escalation!$B$10,Actuals!N27)</f>
        <v/>
      </c>
      <c r="N119" s="392">
        <f>IF(ISBLANK(Actuals!O27),-18750*Escalation!$B$11,Actuals!O27)</f>
        <v/>
      </c>
      <c r="O119" s="392">
        <f>IF(ISBLANK(Actuals!P27),-18750*Escalation!$B$12,Actuals!P27)</f>
        <v/>
      </c>
      <c r="P119" s="392">
        <f>IF(ISBLANK(Actuals!Q27),-18750*Escalation!$B$13,Actuals!Q27)</f>
        <v/>
      </c>
      <c r="Q119" s="392">
        <f>IF(ISBLANK(Actuals!R27),-18750*Escalation!$B$14,Actuals!R27)</f>
        <v/>
      </c>
      <c r="R119" s="392">
        <f>IF(ISBLANK(Actuals!S27),-18750*Escalation!$B$15,Actuals!S27)</f>
        <v/>
      </c>
      <c r="S119" s="392">
        <f>IF(ISBLANK(Actuals!T27),-18750*Escalation!$B$16,Actuals!T27)</f>
        <v/>
      </c>
      <c r="T119" s="392">
        <f>IF(ISBLANK(Actuals!U27),-18750*Escalation!$B$17,Actuals!U27)</f>
        <v/>
      </c>
      <c r="U119" s="392">
        <f>IF(ISBLANK(Actuals!V27),-18750*Escalation!$B$18,Actuals!V27)</f>
        <v/>
      </c>
      <c r="V119" s="392">
        <f>IF(ISBLANK(Actuals!W27),-18750*Escalation!$B$19,Actuals!W27)</f>
        <v/>
      </c>
      <c r="W119" s="392">
        <f>IF(ISBLANK(Actuals!X27),-18750*Escalation!$B$20,Actuals!X27)</f>
        <v/>
      </c>
      <c r="X119" s="392">
        <f>IF(ISBLANK(Actuals!Y27),-18750*Escalation!$B$21,Actuals!Y27)</f>
        <v/>
      </c>
      <c r="Y119" s="392">
        <f>IF(ISBLANK(Actuals!Z27),-18750*Escalation!$B$22,Actuals!Z27)</f>
        <v/>
      </c>
      <c r="Z119" s="392">
        <f>IF(ISBLANK(Actuals!AA27),-18750*Escalation!$B$23,Actuals!AA27)</f>
        <v/>
      </c>
      <c r="AA119" s="392">
        <f>IF(ISBLANK(Actuals!AB27),-18750*Escalation!$B$24,Actuals!AB27)</f>
        <v/>
      </c>
      <c r="AB119" s="392">
        <f>IF(ISBLANK(Actuals!AC27),-18750*Escalation!$B$25,Actuals!AC27)</f>
        <v/>
      </c>
      <c r="AC119" s="392">
        <f>IF(ISBLANK(Actuals!AD27),-18750*Escalation!$B$26,Actuals!AD27)</f>
        <v/>
      </c>
      <c r="AD119" s="392">
        <f>IF(ISBLANK(Actuals!AE27),-18750*Escalation!$B$27,Actuals!AE27)</f>
        <v/>
      </c>
      <c r="AE119" s="392">
        <f>IF(ISBLANK(Actuals!AF27),-18750*Escalation!$B$28,Actuals!AF27)</f>
        <v/>
      </c>
      <c r="AF119" s="392">
        <f>IF(ISBLANK(Actuals!AG27),-18750*Escalation!$B$29,Actuals!AG27)</f>
        <v/>
      </c>
      <c r="AG119" s="392">
        <f>IF(ISBLANK(Actuals!AH27),-18750*Escalation!$B$30,Actuals!AH27)</f>
        <v/>
      </c>
      <c r="AH119" s="392">
        <f>IF(ISBLANK(Actuals!AI27),-18750*Escalation!$B$31,Actuals!AI27)</f>
        <v/>
      </c>
      <c r="AI119" s="392">
        <f>IF(ISBLANK(Actuals!AJ27),-18750*Escalation!$B$32,Actuals!AJ27)</f>
        <v/>
      </c>
      <c r="AJ119" s="392">
        <f>IF(ISBLANK(Actuals!AK27),-18750*Escalation!$B$33,Actuals!AK27)</f>
        <v/>
      </c>
      <c r="AK119" s="392">
        <f>IF(ISBLANK(Actuals!AL27),-18750*Escalation!$B$34,Actuals!AL27)</f>
        <v/>
      </c>
      <c r="AL119" s="392">
        <f>IF(ISBLANK(Actuals!AM27),-18750*Escalation!$B$35,Actuals!AM27)</f>
        <v/>
      </c>
      <c r="AM119" s="392">
        <f>IF(ISBLANK(Actuals!AN27),-18750*Escalation!$B$36,Actuals!AN27)</f>
        <v/>
      </c>
      <c r="AN119" s="392">
        <f>IF(ISBLANK(Actuals!AO27),-18750*Escalation!$B$37,Actuals!AO27)</f>
        <v/>
      </c>
      <c r="AO119" s="392">
        <f>IF(ISBLANK(Actuals!AP27),-18750*Escalation!$B$38,Actuals!AP27)</f>
        <v/>
      </c>
      <c r="AP119" s="392">
        <f>IF(ISBLANK(Actuals!AQ27),-18750*Escalation!$B$39,Actuals!AQ27)</f>
        <v/>
      </c>
      <c r="AQ119" s="392">
        <f>IF(ISBLANK(Actuals!AR27),-18750*Escalation!$B$40,Actuals!AR27)</f>
        <v/>
      </c>
      <c r="AR119" s="392">
        <f>IF(ISBLANK(Actuals!AS27),-18750*Escalation!$B$41,Actuals!AS27)</f>
        <v/>
      </c>
      <c r="AS119" s="392">
        <f>IF(ISBLANK(Actuals!AT27),-18750*Escalation!$B$42,Actuals!AT27)</f>
        <v/>
      </c>
      <c r="AT119" s="392">
        <f>IF(ISBLANK(Actuals!AU27),-18750*Escalation!$B$43,Actuals!AU27)</f>
        <v/>
      </c>
      <c r="AU119" s="392">
        <f>IF(ISBLANK(Actuals!AV27),-18750*Escalation!$B$44,Actuals!AV27)</f>
        <v/>
      </c>
      <c r="AV119" s="392">
        <f>IF(ISBLANK(Actuals!AW27),-18750*Escalation!$B$45,Actuals!AW27)</f>
        <v/>
      </c>
      <c r="AW119" s="392">
        <f>IF(ISBLANK(Actuals!AX27),-18750*Escalation!$B$46,Actuals!AX27)</f>
        <v/>
      </c>
      <c r="AX119" s="392">
        <f>IF(ISBLANK(Actuals!AY27),-18750*Escalation!$B$47,Actuals!AY27)</f>
        <v/>
      </c>
      <c r="AY119" s="392">
        <f>IF(ISBLANK(Actuals!AZ27),-18750*Escalation!$B$48,Actuals!AZ27)</f>
        <v/>
      </c>
      <c r="AZ119" s="392">
        <f>IF(ISBLANK(Actuals!BA27),-18750*Escalation!$B$49,Actuals!BA27)</f>
        <v/>
      </c>
      <c r="BA119" s="392">
        <f>IF(ISBLANK(Actuals!BB27),-18750*Escalation!$B$50,Actuals!BB27)</f>
        <v/>
      </c>
      <c r="BB119" s="392">
        <f>IF(ISBLANK(Actuals!BC27),-18750*Escalation!$B$51,Actuals!BC27)</f>
        <v/>
      </c>
      <c r="BC119" s="392">
        <f>IF(ISBLANK(Actuals!BD27),-18750*Escalation!$B$52,Actuals!BD27)</f>
        <v/>
      </c>
      <c r="BD119" s="392">
        <f>IF(ISBLANK(Actuals!BE27),-18750*Escalation!$B$53,Actuals!BE27)</f>
        <v/>
      </c>
      <c r="BE119" s="392">
        <f>IF(ISBLANK(Actuals!BF27),-18750*Escalation!$B$54,Actuals!BF27)</f>
        <v/>
      </c>
      <c r="BF119" s="392">
        <f>IF(ISBLANK(Actuals!BG27),-18750*Escalation!$B$55,Actuals!BG27)</f>
        <v/>
      </c>
      <c r="BG119" s="392">
        <f>IF(ISBLANK(Actuals!BH27),-18750*Escalation!$B$56,Actuals!BH27)</f>
        <v/>
      </c>
      <c r="BH119" s="392">
        <f>IF(ISBLANK(Actuals!BI27),-18750*Escalation!$B$57,Actuals!BI27)</f>
        <v/>
      </c>
      <c r="BI119" s="392">
        <f>IF(ISBLANK(Actuals!BJ27),-18750*Escalation!$B$58,Actuals!BJ27)</f>
        <v/>
      </c>
      <c r="BJ119" s="392">
        <f>IF(ISBLANK(Actuals!BK27),-18750*Escalation!$B$59,Actuals!BK27)</f>
        <v/>
      </c>
      <c r="BK119" s="392">
        <f>IF(ISBLANK(Actuals!BL27),-18750*Escalation!$B$60,Actuals!BL27)</f>
        <v/>
      </c>
      <c r="BL119" s="392">
        <f>IF(ISBLANK(Actuals!BM27),-18750*Escalation!$B$61,Actuals!BM27)</f>
        <v/>
      </c>
      <c r="BM119" s="392">
        <f>IF(ISBLANK(Actuals!BN27),-18750*Escalation!$B$62,Actuals!BN27)</f>
        <v/>
      </c>
      <c r="BN119" s="392">
        <f>IF(ISBLANK(Actuals!BO27),-18750*Escalation!$B$63,Actuals!BO27)</f>
        <v/>
      </c>
      <c r="BO119" s="392">
        <f>IF(ISBLANK(Actuals!BP27),-18750*Escalation!$B$64,Actuals!BP27)</f>
        <v/>
      </c>
      <c r="BP119" s="392">
        <f>IF(ISBLANK(Actuals!BQ27),-18750*Escalation!$B$65,Actuals!BQ27)</f>
        <v/>
      </c>
      <c r="BQ119" s="392">
        <f>IF(ISBLANK(Actuals!BR27),-18750*Escalation!$B$66,Actuals!BR27)</f>
        <v/>
      </c>
      <c r="BR119" s="392">
        <f>IF(ISBLANK(Actuals!BS27),-18750*Escalation!$B$67,Actuals!BS27)</f>
        <v/>
      </c>
      <c r="BS119" s="392">
        <f>IF(ISBLANK(Actuals!BT27),-18750*Escalation!$B$68,Actuals!BT27)</f>
        <v/>
      </c>
      <c r="BT119" s="392">
        <f>IF(ISBLANK(Actuals!BU27),-18750*Escalation!$B$69,Actuals!BU27)</f>
        <v/>
      </c>
      <c r="BU119" s="392">
        <f>IF(ISBLANK(Actuals!BV27),-18750*Escalation!$B$70,Actuals!BV27)</f>
        <v/>
      </c>
      <c r="BV119" s="392">
        <f>IF(ISBLANK(Actuals!BW27),-18750*Escalation!$B$71,Actuals!BW27)</f>
        <v/>
      </c>
      <c r="BW119" s="392">
        <f>IF(ISBLANK(Actuals!BX27),-18750*Escalation!$B$72,Actuals!BX27)</f>
        <v/>
      </c>
      <c r="BX119" s="392">
        <f>IF(ISBLANK(Actuals!BY27),-18750*Escalation!$B$73,Actuals!BY27)</f>
        <v/>
      </c>
      <c r="BY119" s="392">
        <f>IF(ISBLANK(Actuals!BZ27),-18750*Escalation!$B$74,Actuals!BZ27)</f>
        <v/>
      </c>
      <c r="BZ119" s="392">
        <f>IF(ISBLANK(Actuals!CA27),-18750*Escalation!$B$75,Actuals!CA27)</f>
        <v/>
      </c>
      <c r="CA119" s="392">
        <f>IF(ISBLANK(Actuals!CB27),-18750*Escalation!$B$76,Actuals!CB27)</f>
        <v/>
      </c>
      <c r="CB119" s="392">
        <f>IF(ISBLANK(Actuals!CC27),-18750*Escalation!$B$77,Actuals!CC27)</f>
        <v/>
      </c>
      <c r="CC119" s="392">
        <f>IF(ISBLANK(Actuals!CD27),-18750*Escalation!$B$78,Actuals!CD27)</f>
        <v/>
      </c>
      <c r="CD119" s="392">
        <f>IF(ISBLANK(Actuals!CE27),-18750*Escalation!$B$79,Actuals!CE27)</f>
        <v/>
      </c>
      <c r="CE119" s="392">
        <f>IF(ISBLANK(Actuals!CF27),-18750*Escalation!$B$80,Actuals!CF27)</f>
        <v/>
      </c>
      <c r="CF119" s="392">
        <f>IF(ISBLANK(Actuals!CG27),-18750*Escalation!$B$81,Actuals!CG27)</f>
        <v/>
      </c>
      <c r="CG119" s="392">
        <f>IF(ISBLANK(Actuals!CH27),-18750*Escalation!$B$82,Actuals!CH27)</f>
        <v/>
      </c>
      <c r="CH119" s="392">
        <f>IF(ISBLANK(Actuals!CI27),-18750*Escalation!$B$83,Actuals!CI27)</f>
        <v/>
      </c>
      <c r="CI119" s="392">
        <f>IF(ISBLANK(Actuals!CJ27),-18750*Escalation!$B$84,Actuals!CJ27)</f>
        <v/>
      </c>
      <c r="CJ119" s="392">
        <f>IF(ISBLANK(Actuals!CK27),-18750*Escalation!$B$85,Actuals!CK27)</f>
        <v/>
      </c>
      <c r="CK119" s="392">
        <f>IF(ISBLANK(Actuals!CL27),-18750*Escalation!$B$86,Actuals!CL27)</f>
        <v/>
      </c>
      <c r="CL119" s="392">
        <f>IF(ISBLANK(Actuals!CM27),-18750*Escalation!$B$87,Actuals!CM27)</f>
        <v/>
      </c>
      <c r="CM119" s="392">
        <f>IF(ISBLANK(Actuals!CN27),-18750*Escalation!$B$88,Actuals!CN27)</f>
        <v/>
      </c>
      <c r="CN119" s="392">
        <f>IF(ISBLANK(Actuals!CO27),-18750*Escalation!$B$89,Actuals!CO27)</f>
        <v/>
      </c>
      <c r="CO119" s="392">
        <f>IF(ISBLANK(Actuals!CP27),-18750*Escalation!$B$90,Actuals!CP27)</f>
        <v/>
      </c>
      <c r="CP119" s="392">
        <f>IF(ISBLANK(Actuals!CQ27),-18750*Escalation!$B$91,Actuals!CQ27)</f>
        <v/>
      </c>
      <c r="CQ119" s="392">
        <f>IF(ISBLANK(Actuals!CR27),-18750*Escalation!$B$92,Actuals!CR27)</f>
        <v/>
      </c>
      <c r="CR119" s="392">
        <f>IF(ISBLANK(Actuals!CS27),-18750*Escalation!$B$93,Actuals!CS27)</f>
        <v/>
      </c>
      <c r="CS119" s="392">
        <f>IF(ISBLANK(Actuals!CT27),-18750*Escalation!$B$94,Actuals!CT27)</f>
        <v/>
      </c>
      <c r="CT119" s="392">
        <f>IF(ISBLANK(Actuals!CU27),-18750*Escalation!$B$95,Actuals!CU27)</f>
        <v/>
      </c>
      <c r="CU119" s="392">
        <f>IF(ISBLANK(Actuals!CV27),-18750*Escalation!$B$96,Actuals!CV27)</f>
        <v/>
      </c>
      <c r="CV119" s="392">
        <f>IF(ISBLANK(Actuals!CW27),-18750*Escalation!$B$97,Actuals!CW27)</f>
        <v/>
      </c>
      <c r="CW119" s="392">
        <f>IF(ISBLANK(Actuals!CX27),-18750*Escalation!$B$98,Actuals!CX27)</f>
        <v/>
      </c>
      <c r="CX119" s="392">
        <f>IF(ISBLANK(Actuals!CY27),-18750*Escalation!$B$99,Actuals!CY27)</f>
        <v/>
      </c>
      <c r="CY119" s="392">
        <f>IF(ISBLANK(Actuals!CZ27),-18750*Escalation!$B$100,Actuals!CZ27)</f>
        <v/>
      </c>
      <c r="CZ119" s="392">
        <f>IF(ISBLANK(Actuals!DA27),-18750*Escalation!$B$101,Actuals!DA27)</f>
        <v/>
      </c>
      <c r="DA119" s="392">
        <f>IF(ISBLANK(Actuals!DB27),-18750*Escalation!$B$102,Actuals!DB27)</f>
        <v/>
      </c>
      <c r="DB119" s="392">
        <f>IF(ISBLANK(Actuals!DC27),-18750*Escalation!$B$103,Actuals!DC27)</f>
        <v/>
      </c>
      <c r="DC119" s="392">
        <f>IF(ISBLANK(Actuals!DD27),-18750*Escalation!$B$104,Actuals!DD27)</f>
        <v/>
      </c>
      <c r="DD119" s="392">
        <f>IF(ISBLANK(Actuals!DE27),-18750*Escalation!$B$105,Actuals!DE27)</f>
        <v/>
      </c>
      <c r="DE119" s="392">
        <f>IF(ISBLANK(Actuals!DF27),-18750*Escalation!$B$106,Actuals!DF27)</f>
        <v/>
      </c>
    </row>
    <row r="120" ht="15" customFormat="1" customHeight="1" s="380">
      <c r="A120" s="397" t="inlineStr">
        <is>
          <t>5000-1018 Payroll - Self Performed Trades</t>
        </is>
      </c>
      <c r="B120" s="392">
        <f>IF(ISBLANK(Actuals!C28),0,Actuals!C28)</f>
        <v/>
      </c>
      <c r="C120" s="392">
        <f>IF(ISBLANK(Actuals!D28),0,Actuals!D28)</f>
        <v/>
      </c>
      <c r="D120" s="392">
        <f>IF(ISBLANK(Actuals!E28),0,Actuals!E28)</f>
        <v/>
      </c>
      <c r="E120" s="392">
        <f>IF(ISBLANK(Actuals!F28),0*Escalation!$B$2,Actuals!F28)</f>
        <v/>
      </c>
      <c r="F120" s="392">
        <f>IF(ISBLANK(Actuals!G28),0*Escalation!$B$3,Actuals!G28)</f>
        <v/>
      </c>
      <c r="G120" s="392">
        <f>IF(ISBLANK(Actuals!H28),0*Escalation!$B$4,Actuals!H28)</f>
        <v/>
      </c>
      <c r="H120" s="392">
        <f>IF(ISBLANK(Actuals!I28),0*Escalation!$B$5,Actuals!I28)</f>
        <v/>
      </c>
      <c r="I120" s="392">
        <f>IF(ISBLANK(Actuals!J28),0*Escalation!$B$6,Actuals!J28)</f>
        <v/>
      </c>
      <c r="J120" s="392">
        <f>IF(ISBLANK(Actuals!K28),0*Escalation!$B$7,Actuals!K28)</f>
        <v/>
      </c>
      <c r="K120" s="392">
        <f>IF(ISBLANK(Actuals!L28),0*Escalation!$B$8,Actuals!L28)</f>
        <v/>
      </c>
      <c r="L120" s="392">
        <f>IF(ISBLANK(Actuals!M28),0*Escalation!$B$9,Actuals!M28)</f>
        <v/>
      </c>
      <c r="M120" s="392">
        <f>IF(ISBLANK(Actuals!N28),0*Escalation!$B$10,Actuals!N28)</f>
        <v/>
      </c>
      <c r="N120" s="392">
        <f>IF(ISBLANK(Actuals!O28),0*Escalation!$B$11,Actuals!O28)</f>
        <v/>
      </c>
      <c r="O120" s="392">
        <f>IF(ISBLANK(Actuals!P28),0*Escalation!$B$12,Actuals!P28)</f>
        <v/>
      </c>
      <c r="P120" s="392">
        <f>IF(ISBLANK(Actuals!Q28),0*Escalation!$B$13,Actuals!Q28)</f>
        <v/>
      </c>
      <c r="Q120" s="392">
        <f>IF(ISBLANK(Actuals!R28),0*Escalation!$B$14,Actuals!R28)</f>
        <v/>
      </c>
      <c r="R120" s="392">
        <f>IF(ISBLANK(Actuals!S28),0*Escalation!$B$15,Actuals!S28)</f>
        <v/>
      </c>
      <c r="S120" s="392">
        <f>IF(ISBLANK(Actuals!T28),0*Escalation!$B$16,Actuals!T28)</f>
        <v/>
      </c>
      <c r="T120" s="392">
        <f>IF(ISBLANK(Actuals!U28),0*Escalation!$B$17,Actuals!U28)</f>
        <v/>
      </c>
      <c r="U120" s="392">
        <f>IF(ISBLANK(Actuals!V28),0*Escalation!$B$18,Actuals!V28)</f>
        <v/>
      </c>
      <c r="V120" s="392">
        <f>IF(ISBLANK(Actuals!W28),0*Escalation!$B$19,Actuals!W28)</f>
        <v/>
      </c>
      <c r="W120" s="392">
        <f>IF(ISBLANK(Actuals!X28),0*Escalation!$B$20,Actuals!X28)</f>
        <v/>
      </c>
      <c r="X120" s="392">
        <f>IF(ISBLANK(Actuals!Y28),0*Escalation!$B$21,Actuals!Y28)</f>
        <v/>
      </c>
      <c r="Y120" s="392">
        <f>IF(ISBLANK(Actuals!Z28),0*Escalation!$B$22,Actuals!Z28)</f>
        <v/>
      </c>
      <c r="Z120" s="392">
        <f>IF(ISBLANK(Actuals!AA28),0*Escalation!$B$23,Actuals!AA28)</f>
        <v/>
      </c>
      <c r="AA120" s="392">
        <f>IF(ISBLANK(Actuals!AB28),0*Escalation!$B$24,Actuals!AB28)</f>
        <v/>
      </c>
      <c r="AB120" s="392">
        <f>IF(ISBLANK(Actuals!AC28),0*Escalation!$B$25,Actuals!AC28)</f>
        <v/>
      </c>
      <c r="AC120" s="392">
        <f>IF(ISBLANK(Actuals!AD28),0*Escalation!$B$26,Actuals!AD28)</f>
        <v/>
      </c>
      <c r="AD120" s="392">
        <f>IF(ISBLANK(Actuals!AE28),0*Escalation!$B$27,Actuals!AE28)</f>
        <v/>
      </c>
      <c r="AE120" s="392">
        <f>IF(ISBLANK(Actuals!AF28),0*Escalation!$B$28,Actuals!AF28)</f>
        <v/>
      </c>
      <c r="AF120" s="392">
        <f>IF(ISBLANK(Actuals!AG28),0*Escalation!$B$29,Actuals!AG28)</f>
        <v/>
      </c>
      <c r="AG120" s="392">
        <f>IF(ISBLANK(Actuals!AH28),0*Escalation!$B$30,Actuals!AH28)</f>
        <v/>
      </c>
      <c r="AH120" s="392">
        <f>IF(ISBLANK(Actuals!AI28),0*Escalation!$B$31,Actuals!AI28)</f>
        <v/>
      </c>
      <c r="AI120" s="392">
        <f>IF(ISBLANK(Actuals!AJ28),0*Escalation!$B$32,Actuals!AJ28)</f>
        <v/>
      </c>
      <c r="AJ120" s="392">
        <f>IF(ISBLANK(Actuals!AK28),0*Escalation!$B$33,Actuals!AK28)</f>
        <v/>
      </c>
      <c r="AK120" s="392">
        <f>IF(ISBLANK(Actuals!AL28),0*Escalation!$B$34,Actuals!AL28)</f>
        <v/>
      </c>
      <c r="AL120" s="392">
        <f>IF(ISBLANK(Actuals!AM28),0*Escalation!$B$35,Actuals!AM28)</f>
        <v/>
      </c>
      <c r="AM120" s="392">
        <f>IF(ISBLANK(Actuals!AN28),0*Escalation!$B$36,Actuals!AN28)</f>
        <v/>
      </c>
      <c r="AN120" s="392">
        <f>IF(ISBLANK(Actuals!AO28),0*Escalation!$B$37,Actuals!AO28)</f>
        <v/>
      </c>
      <c r="AO120" s="392">
        <f>IF(ISBLANK(Actuals!AP28),0*Escalation!$B$38,Actuals!AP28)</f>
        <v/>
      </c>
      <c r="AP120" s="392">
        <f>IF(ISBLANK(Actuals!AQ28),0*Escalation!$B$39,Actuals!AQ28)</f>
        <v/>
      </c>
      <c r="AQ120" s="392">
        <f>IF(ISBLANK(Actuals!AR28),0*Escalation!$B$40,Actuals!AR28)</f>
        <v/>
      </c>
      <c r="AR120" s="392">
        <f>IF(ISBLANK(Actuals!AS28),0*Escalation!$B$41,Actuals!AS28)</f>
        <v/>
      </c>
      <c r="AS120" s="392">
        <f>IF(ISBLANK(Actuals!AT28),0*Escalation!$B$42,Actuals!AT28)</f>
        <v/>
      </c>
      <c r="AT120" s="392">
        <f>IF(ISBLANK(Actuals!AU28),0*Escalation!$B$43,Actuals!AU28)</f>
        <v/>
      </c>
      <c r="AU120" s="392">
        <f>IF(ISBLANK(Actuals!AV28),0*Escalation!$B$44,Actuals!AV28)</f>
        <v/>
      </c>
      <c r="AV120" s="392">
        <f>IF(ISBLANK(Actuals!AW28),0*Escalation!$B$45,Actuals!AW28)</f>
        <v/>
      </c>
      <c r="AW120" s="392">
        <f>IF(ISBLANK(Actuals!AX28),0*Escalation!$B$46,Actuals!AX28)</f>
        <v/>
      </c>
      <c r="AX120" s="392">
        <f>IF(ISBLANK(Actuals!AY28),0*Escalation!$B$47,Actuals!AY28)</f>
        <v/>
      </c>
      <c r="AY120" s="392">
        <f>IF(ISBLANK(Actuals!AZ28),0*Escalation!$B$48,Actuals!AZ28)</f>
        <v/>
      </c>
      <c r="AZ120" s="392">
        <f>IF(ISBLANK(Actuals!BA28),0*Escalation!$B$49,Actuals!BA28)</f>
        <v/>
      </c>
      <c r="BA120" s="392">
        <f>IF(ISBLANK(Actuals!BB28),0*Escalation!$B$50,Actuals!BB28)</f>
        <v/>
      </c>
      <c r="BB120" s="392">
        <f>IF(ISBLANK(Actuals!BC28),0*Escalation!$B$51,Actuals!BC28)</f>
        <v/>
      </c>
      <c r="BC120" s="392">
        <f>IF(ISBLANK(Actuals!BD28),0*Escalation!$B$52,Actuals!BD28)</f>
        <v/>
      </c>
      <c r="BD120" s="392">
        <f>IF(ISBLANK(Actuals!BE28),0*Escalation!$B$53,Actuals!BE28)</f>
        <v/>
      </c>
      <c r="BE120" s="392">
        <f>IF(ISBLANK(Actuals!BF28),0*Escalation!$B$54,Actuals!BF28)</f>
        <v/>
      </c>
      <c r="BF120" s="392">
        <f>IF(ISBLANK(Actuals!BG28),0*Escalation!$B$55,Actuals!BG28)</f>
        <v/>
      </c>
      <c r="BG120" s="392">
        <f>IF(ISBLANK(Actuals!BH28),0*Escalation!$B$56,Actuals!BH28)</f>
        <v/>
      </c>
      <c r="BH120" s="392">
        <f>IF(ISBLANK(Actuals!BI28),0*Escalation!$B$57,Actuals!BI28)</f>
        <v/>
      </c>
      <c r="BI120" s="392">
        <f>IF(ISBLANK(Actuals!BJ28),0*Escalation!$B$58,Actuals!BJ28)</f>
        <v/>
      </c>
      <c r="BJ120" s="392">
        <f>IF(ISBLANK(Actuals!BK28),0*Escalation!$B$59,Actuals!BK28)</f>
        <v/>
      </c>
      <c r="BK120" s="392">
        <f>IF(ISBLANK(Actuals!BL28),0*Escalation!$B$60,Actuals!BL28)</f>
        <v/>
      </c>
      <c r="BL120" s="392">
        <f>IF(ISBLANK(Actuals!BM28),0*Escalation!$B$61,Actuals!BM28)</f>
        <v/>
      </c>
      <c r="BM120" s="392">
        <f>IF(ISBLANK(Actuals!BN28),0*Escalation!$B$62,Actuals!BN28)</f>
        <v/>
      </c>
      <c r="BN120" s="392">
        <f>IF(ISBLANK(Actuals!BO28),0*Escalation!$B$63,Actuals!BO28)</f>
        <v/>
      </c>
      <c r="BO120" s="392">
        <f>IF(ISBLANK(Actuals!BP28),0*Escalation!$B$64,Actuals!BP28)</f>
        <v/>
      </c>
      <c r="BP120" s="392">
        <f>IF(ISBLANK(Actuals!BQ28),0*Escalation!$B$65,Actuals!BQ28)</f>
        <v/>
      </c>
      <c r="BQ120" s="392">
        <f>IF(ISBLANK(Actuals!BR28),0*Escalation!$B$66,Actuals!BR28)</f>
        <v/>
      </c>
      <c r="BR120" s="392">
        <f>IF(ISBLANK(Actuals!BS28),0*Escalation!$B$67,Actuals!BS28)</f>
        <v/>
      </c>
      <c r="BS120" s="392">
        <f>IF(ISBLANK(Actuals!BT28),0*Escalation!$B$68,Actuals!BT28)</f>
        <v/>
      </c>
      <c r="BT120" s="392">
        <f>IF(ISBLANK(Actuals!BU28),0*Escalation!$B$69,Actuals!BU28)</f>
        <v/>
      </c>
      <c r="BU120" s="392">
        <f>IF(ISBLANK(Actuals!BV28),0*Escalation!$B$70,Actuals!BV28)</f>
        <v/>
      </c>
      <c r="BV120" s="392">
        <f>IF(ISBLANK(Actuals!BW28),0*Escalation!$B$71,Actuals!BW28)</f>
        <v/>
      </c>
      <c r="BW120" s="392">
        <f>IF(ISBLANK(Actuals!BX28),0*Escalation!$B$72,Actuals!BX28)</f>
        <v/>
      </c>
      <c r="BX120" s="392">
        <f>IF(ISBLANK(Actuals!BY28),0*Escalation!$B$73,Actuals!BY28)</f>
        <v/>
      </c>
      <c r="BY120" s="392">
        <f>IF(ISBLANK(Actuals!BZ28),0*Escalation!$B$74,Actuals!BZ28)</f>
        <v/>
      </c>
      <c r="BZ120" s="392">
        <f>IF(ISBLANK(Actuals!CA28),0*Escalation!$B$75,Actuals!CA28)</f>
        <v/>
      </c>
      <c r="CA120" s="392">
        <f>IF(ISBLANK(Actuals!CB28),0*Escalation!$B$76,Actuals!CB28)</f>
        <v/>
      </c>
      <c r="CB120" s="392">
        <f>IF(ISBLANK(Actuals!CC28),0*Escalation!$B$77,Actuals!CC28)</f>
        <v/>
      </c>
      <c r="CC120" s="392">
        <f>IF(ISBLANK(Actuals!CD28),0*Escalation!$B$78,Actuals!CD28)</f>
        <v/>
      </c>
      <c r="CD120" s="392">
        <f>IF(ISBLANK(Actuals!CE28),0*Escalation!$B$79,Actuals!CE28)</f>
        <v/>
      </c>
      <c r="CE120" s="392">
        <f>IF(ISBLANK(Actuals!CF28),0*Escalation!$B$80,Actuals!CF28)</f>
        <v/>
      </c>
      <c r="CF120" s="392">
        <f>IF(ISBLANK(Actuals!CG28),0*Escalation!$B$81,Actuals!CG28)</f>
        <v/>
      </c>
      <c r="CG120" s="392">
        <f>IF(ISBLANK(Actuals!CH28),0*Escalation!$B$82,Actuals!CH28)</f>
        <v/>
      </c>
      <c r="CH120" s="392">
        <f>IF(ISBLANK(Actuals!CI28),0*Escalation!$B$83,Actuals!CI28)</f>
        <v/>
      </c>
      <c r="CI120" s="392">
        <f>IF(ISBLANK(Actuals!CJ28),0*Escalation!$B$84,Actuals!CJ28)</f>
        <v/>
      </c>
      <c r="CJ120" s="392">
        <f>IF(ISBLANK(Actuals!CK28),0*Escalation!$B$85,Actuals!CK28)</f>
        <v/>
      </c>
      <c r="CK120" s="392">
        <f>IF(ISBLANK(Actuals!CL28),0*Escalation!$B$86,Actuals!CL28)</f>
        <v/>
      </c>
      <c r="CL120" s="392">
        <f>IF(ISBLANK(Actuals!CM28),0*Escalation!$B$87,Actuals!CM28)</f>
        <v/>
      </c>
      <c r="CM120" s="392">
        <f>IF(ISBLANK(Actuals!CN28),0*Escalation!$B$88,Actuals!CN28)</f>
        <v/>
      </c>
      <c r="CN120" s="392">
        <f>IF(ISBLANK(Actuals!CO28),0*Escalation!$B$89,Actuals!CO28)</f>
        <v/>
      </c>
      <c r="CO120" s="392">
        <f>IF(ISBLANK(Actuals!CP28),0*Escalation!$B$90,Actuals!CP28)</f>
        <v/>
      </c>
      <c r="CP120" s="392">
        <f>IF(ISBLANK(Actuals!CQ28),0*Escalation!$B$91,Actuals!CQ28)</f>
        <v/>
      </c>
      <c r="CQ120" s="392">
        <f>IF(ISBLANK(Actuals!CR28),0*Escalation!$B$92,Actuals!CR28)</f>
        <v/>
      </c>
      <c r="CR120" s="392">
        <f>IF(ISBLANK(Actuals!CS28),0*Escalation!$B$93,Actuals!CS28)</f>
        <v/>
      </c>
      <c r="CS120" s="392">
        <f>IF(ISBLANK(Actuals!CT28),0*Escalation!$B$94,Actuals!CT28)</f>
        <v/>
      </c>
      <c r="CT120" s="392">
        <f>IF(ISBLANK(Actuals!CU28),0*Escalation!$B$95,Actuals!CU28)</f>
        <v/>
      </c>
      <c r="CU120" s="392">
        <f>IF(ISBLANK(Actuals!CV28),0*Escalation!$B$96,Actuals!CV28)</f>
        <v/>
      </c>
      <c r="CV120" s="392">
        <f>IF(ISBLANK(Actuals!CW28),0*Escalation!$B$97,Actuals!CW28)</f>
        <v/>
      </c>
      <c r="CW120" s="392">
        <f>IF(ISBLANK(Actuals!CX28),0*Escalation!$B$98,Actuals!CX28)</f>
        <v/>
      </c>
      <c r="CX120" s="392">
        <f>IF(ISBLANK(Actuals!CY28),0*Escalation!$B$99,Actuals!CY28)</f>
        <v/>
      </c>
      <c r="CY120" s="392">
        <f>IF(ISBLANK(Actuals!CZ28),0*Escalation!$B$100,Actuals!CZ28)</f>
        <v/>
      </c>
      <c r="CZ120" s="392">
        <f>IF(ISBLANK(Actuals!DA28),0*Escalation!$B$101,Actuals!DA28)</f>
        <v/>
      </c>
      <c r="DA120" s="392">
        <f>IF(ISBLANK(Actuals!DB28),0*Escalation!$B$102,Actuals!DB28)</f>
        <v/>
      </c>
      <c r="DB120" s="392">
        <f>IF(ISBLANK(Actuals!DC28),0*Escalation!$B$103,Actuals!DC28)</f>
        <v/>
      </c>
      <c r="DC120" s="392">
        <f>IF(ISBLANK(Actuals!DD28),0*Escalation!$B$104,Actuals!DD28)</f>
        <v/>
      </c>
      <c r="DD120" s="392">
        <f>IF(ISBLANK(Actuals!DE28),0*Escalation!$B$105,Actuals!DE28)</f>
        <v/>
      </c>
      <c r="DE120" s="392">
        <f>IF(ISBLANK(Actuals!DF28),0*Escalation!$B$106,Actuals!DF28)</f>
        <v/>
      </c>
    </row>
    <row r="121" ht="15" customFormat="1" customHeight="1" s="380">
      <c r="A121" s="397" t="inlineStr">
        <is>
          <t>5100-1000 Rent Expense</t>
        </is>
      </c>
      <c r="B121" s="392">
        <f>IF(ISBLANK(Actuals!C29),0,Actuals!C29)</f>
        <v/>
      </c>
      <c r="C121" s="392">
        <f>IF(ISBLANK(Actuals!D29),0,Actuals!D29)</f>
        <v/>
      </c>
      <c r="D121" s="392">
        <f>IF(ISBLANK(Actuals!E29),0,Actuals!E29)</f>
        <v/>
      </c>
      <c r="E121" s="392">
        <f>IF(ISBLANK(Actuals!F29),-10400*Escalation!$B$2,Actuals!F29)</f>
        <v/>
      </c>
      <c r="F121" s="392">
        <f>IF(ISBLANK(Actuals!G29),-10400*Escalation!$B$3,Actuals!G29)</f>
        <v/>
      </c>
      <c r="G121" s="392">
        <f>IF(ISBLANK(Actuals!H29),-10400*Escalation!$B$4,Actuals!H29)</f>
        <v/>
      </c>
      <c r="H121" s="392">
        <f>IF(ISBLANK(Actuals!I29),-10400*Escalation!$B$5,Actuals!I29)</f>
        <v/>
      </c>
      <c r="I121" s="392">
        <f>IF(ISBLANK(Actuals!J29),-10400*Escalation!$B$6,Actuals!J29)</f>
        <v/>
      </c>
      <c r="J121" s="392">
        <f>IF(ISBLANK(Actuals!K29),-10400*Escalation!$B$7,Actuals!K29)</f>
        <v/>
      </c>
      <c r="K121" s="392">
        <f>IF(ISBLANK(Actuals!L29),-10400*Escalation!$B$8,Actuals!L29)</f>
        <v/>
      </c>
      <c r="L121" s="392">
        <f>IF(ISBLANK(Actuals!M29),-10400*Escalation!$B$9,Actuals!M29)</f>
        <v/>
      </c>
      <c r="M121" s="392">
        <f>IF(ISBLANK(Actuals!N29),-10400*Escalation!$B$10,Actuals!N29)</f>
        <v/>
      </c>
      <c r="N121" s="392">
        <f>IF(ISBLANK(Actuals!O29),-10400*Escalation!$B$11,Actuals!O29)</f>
        <v/>
      </c>
      <c r="O121" s="392">
        <f>IF(ISBLANK(Actuals!P29),-10400*Escalation!$B$12,Actuals!P29)</f>
        <v/>
      </c>
      <c r="P121" s="392">
        <f>IF(ISBLANK(Actuals!Q29),-10400*Escalation!$B$13,Actuals!Q29)</f>
        <v/>
      </c>
      <c r="Q121" s="392">
        <f>IF(ISBLANK(Actuals!R29),-10400*Escalation!$B$14,Actuals!R29)</f>
        <v/>
      </c>
      <c r="R121" s="392">
        <f>IF(ISBLANK(Actuals!S29),-10400*Escalation!$B$15,Actuals!S29)</f>
        <v/>
      </c>
      <c r="S121" s="392">
        <f>IF(ISBLANK(Actuals!T29),-10400*Escalation!$B$16,Actuals!T29)</f>
        <v/>
      </c>
      <c r="T121" s="392">
        <f>IF(ISBLANK(Actuals!U29),-10400*Escalation!$B$17,Actuals!U29)</f>
        <v/>
      </c>
      <c r="U121" s="392">
        <f>IF(ISBLANK(Actuals!V29),-10400*Escalation!$B$18,Actuals!V29)</f>
        <v/>
      </c>
      <c r="V121" s="392">
        <f>IF(ISBLANK(Actuals!W29),-10400*Escalation!$B$19,Actuals!W29)</f>
        <v/>
      </c>
      <c r="W121" s="392">
        <f>IF(ISBLANK(Actuals!X29),-10400*Escalation!$B$20,Actuals!X29)</f>
        <v/>
      </c>
      <c r="X121" s="392">
        <f>IF(ISBLANK(Actuals!Y29),-10400*Escalation!$B$21,Actuals!Y29)</f>
        <v/>
      </c>
      <c r="Y121" s="392">
        <f>IF(ISBLANK(Actuals!Z29),-10400*Escalation!$B$22,Actuals!Z29)</f>
        <v/>
      </c>
      <c r="Z121" s="392">
        <f>IF(ISBLANK(Actuals!AA29),-10400*Escalation!$B$23,Actuals!AA29)</f>
        <v/>
      </c>
      <c r="AA121" s="392">
        <f>IF(ISBLANK(Actuals!AB29),-10400*Escalation!$B$24,Actuals!AB29)</f>
        <v/>
      </c>
      <c r="AB121" s="392">
        <f>IF(ISBLANK(Actuals!AC29),-10400*Escalation!$B$25,Actuals!AC29)</f>
        <v/>
      </c>
      <c r="AC121" s="392">
        <f>IF(ISBLANK(Actuals!AD29),-10400*Escalation!$B$26,Actuals!AD29)</f>
        <v/>
      </c>
      <c r="AD121" s="392">
        <f>IF(ISBLANK(Actuals!AE29),-10400*Escalation!$B$27,Actuals!AE29)</f>
        <v/>
      </c>
      <c r="AE121" s="392">
        <f>IF(ISBLANK(Actuals!AF29),-10400*Escalation!$B$28,Actuals!AF29)</f>
        <v/>
      </c>
      <c r="AF121" s="392">
        <f>IF(ISBLANK(Actuals!AG29),-10400*Escalation!$B$29,Actuals!AG29)</f>
        <v/>
      </c>
      <c r="AG121" s="392">
        <f>IF(ISBLANK(Actuals!AH29),-10400*Escalation!$B$30,Actuals!AH29)</f>
        <v/>
      </c>
      <c r="AH121" s="392">
        <f>IF(ISBLANK(Actuals!AI29),-10400*Escalation!$B$31,Actuals!AI29)</f>
        <v/>
      </c>
      <c r="AI121" s="392">
        <f>IF(ISBLANK(Actuals!AJ29),-10400*Escalation!$B$32,Actuals!AJ29)</f>
        <v/>
      </c>
      <c r="AJ121" s="392">
        <f>IF(ISBLANK(Actuals!AK29),-10400*Escalation!$B$33,Actuals!AK29)</f>
        <v/>
      </c>
      <c r="AK121" s="392">
        <f>IF(ISBLANK(Actuals!AL29),-10400*Escalation!$B$34,Actuals!AL29)</f>
        <v/>
      </c>
      <c r="AL121" s="392">
        <f>IF(ISBLANK(Actuals!AM29),-10400*Escalation!$B$35,Actuals!AM29)</f>
        <v/>
      </c>
      <c r="AM121" s="392">
        <f>IF(ISBLANK(Actuals!AN29),-10400*Escalation!$B$36,Actuals!AN29)</f>
        <v/>
      </c>
      <c r="AN121" s="392">
        <f>IF(ISBLANK(Actuals!AO29),-10400*Escalation!$B$37,Actuals!AO29)</f>
        <v/>
      </c>
      <c r="AO121" s="392">
        <f>IF(ISBLANK(Actuals!AP29),-10400*Escalation!$B$38,Actuals!AP29)</f>
        <v/>
      </c>
      <c r="AP121" s="392">
        <f>IF(ISBLANK(Actuals!AQ29),-10400*Escalation!$B$39,Actuals!AQ29)</f>
        <v/>
      </c>
      <c r="AQ121" s="392">
        <f>IF(ISBLANK(Actuals!AR29),-10400*Escalation!$B$40,Actuals!AR29)</f>
        <v/>
      </c>
      <c r="AR121" s="392">
        <f>IF(ISBLANK(Actuals!AS29),-10400*Escalation!$B$41,Actuals!AS29)</f>
        <v/>
      </c>
      <c r="AS121" s="392">
        <f>IF(ISBLANK(Actuals!AT29),-10400*Escalation!$B$42,Actuals!AT29)</f>
        <v/>
      </c>
      <c r="AT121" s="392">
        <f>IF(ISBLANK(Actuals!AU29),-10400*Escalation!$B$43,Actuals!AU29)</f>
        <v/>
      </c>
      <c r="AU121" s="392">
        <f>IF(ISBLANK(Actuals!AV29),-10400*Escalation!$B$44,Actuals!AV29)</f>
        <v/>
      </c>
      <c r="AV121" s="392">
        <f>IF(ISBLANK(Actuals!AW29),-10400*Escalation!$B$45,Actuals!AW29)</f>
        <v/>
      </c>
      <c r="AW121" s="392">
        <f>IF(ISBLANK(Actuals!AX29),-10400*Escalation!$B$46,Actuals!AX29)</f>
        <v/>
      </c>
      <c r="AX121" s="392">
        <f>IF(ISBLANK(Actuals!AY29),-10400*Escalation!$B$47,Actuals!AY29)</f>
        <v/>
      </c>
      <c r="AY121" s="392">
        <f>IF(ISBLANK(Actuals!AZ29),-10400*Escalation!$B$48,Actuals!AZ29)</f>
        <v/>
      </c>
      <c r="AZ121" s="392">
        <f>IF(ISBLANK(Actuals!BA29),-10400*Escalation!$B$49,Actuals!BA29)</f>
        <v/>
      </c>
      <c r="BA121" s="392">
        <f>IF(ISBLANK(Actuals!BB29),-10400*Escalation!$B$50,Actuals!BB29)</f>
        <v/>
      </c>
      <c r="BB121" s="392">
        <f>IF(ISBLANK(Actuals!BC29),-10400*Escalation!$B$51,Actuals!BC29)</f>
        <v/>
      </c>
      <c r="BC121" s="392">
        <f>IF(ISBLANK(Actuals!BD29),-10400*Escalation!$B$52,Actuals!BD29)</f>
        <v/>
      </c>
      <c r="BD121" s="392">
        <f>IF(ISBLANK(Actuals!BE29),-10400*Escalation!$B$53,Actuals!BE29)</f>
        <v/>
      </c>
      <c r="BE121" s="392">
        <f>IF(ISBLANK(Actuals!BF29),-10400*Escalation!$B$54,Actuals!BF29)</f>
        <v/>
      </c>
      <c r="BF121" s="392">
        <f>IF(ISBLANK(Actuals!BG29),-10400*Escalation!$B$55,Actuals!BG29)</f>
        <v/>
      </c>
      <c r="BG121" s="392">
        <f>IF(ISBLANK(Actuals!BH29),-10400*Escalation!$B$56,Actuals!BH29)</f>
        <v/>
      </c>
      <c r="BH121" s="392">
        <f>IF(ISBLANK(Actuals!BI29),-10400*Escalation!$B$57,Actuals!BI29)</f>
        <v/>
      </c>
      <c r="BI121" s="392">
        <f>IF(ISBLANK(Actuals!BJ29),-10400*Escalation!$B$58,Actuals!BJ29)</f>
        <v/>
      </c>
      <c r="BJ121" s="392">
        <f>IF(ISBLANK(Actuals!BK29),-10400*Escalation!$B$59,Actuals!BK29)</f>
        <v/>
      </c>
      <c r="BK121" s="392">
        <f>IF(ISBLANK(Actuals!BL29),-10400*Escalation!$B$60,Actuals!BL29)</f>
        <v/>
      </c>
      <c r="BL121" s="392">
        <f>IF(ISBLANK(Actuals!BM29),-10400*Escalation!$B$61,Actuals!BM29)</f>
        <v/>
      </c>
      <c r="BM121" s="392">
        <f>IF(ISBLANK(Actuals!BN29),-10400*Escalation!$B$62,Actuals!BN29)</f>
        <v/>
      </c>
      <c r="BN121" s="392">
        <f>IF(ISBLANK(Actuals!BO29),-10400*Escalation!$B$63,Actuals!BO29)</f>
        <v/>
      </c>
      <c r="BO121" s="392">
        <f>IF(ISBLANK(Actuals!BP29),-10400*Escalation!$B$64,Actuals!BP29)</f>
        <v/>
      </c>
      <c r="BP121" s="392">
        <f>IF(ISBLANK(Actuals!BQ29),-10400*Escalation!$B$65,Actuals!BQ29)</f>
        <v/>
      </c>
      <c r="BQ121" s="392">
        <f>IF(ISBLANK(Actuals!BR29),-10400*Escalation!$B$66,Actuals!BR29)</f>
        <v/>
      </c>
      <c r="BR121" s="392">
        <f>IF(ISBLANK(Actuals!BS29),-10400*Escalation!$B$67,Actuals!BS29)</f>
        <v/>
      </c>
      <c r="BS121" s="392">
        <f>IF(ISBLANK(Actuals!BT29),-10400*Escalation!$B$68,Actuals!BT29)</f>
        <v/>
      </c>
      <c r="BT121" s="392">
        <f>IF(ISBLANK(Actuals!BU29),-10400*Escalation!$B$69,Actuals!BU29)</f>
        <v/>
      </c>
      <c r="BU121" s="392">
        <f>IF(ISBLANK(Actuals!BV29),-10400*Escalation!$B$70,Actuals!BV29)</f>
        <v/>
      </c>
      <c r="BV121" s="392">
        <f>IF(ISBLANK(Actuals!BW29),-10400*Escalation!$B$71,Actuals!BW29)</f>
        <v/>
      </c>
      <c r="BW121" s="392">
        <f>IF(ISBLANK(Actuals!BX29),-10400*Escalation!$B$72,Actuals!BX29)</f>
        <v/>
      </c>
      <c r="BX121" s="392">
        <f>IF(ISBLANK(Actuals!BY29),-10400*Escalation!$B$73,Actuals!BY29)</f>
        <v/>
      </c>
      <c r="BY121" s="392">
        <f>IF(ISBLANK(Actuals!BZ29),-10400*Escalation!$B$74,Actuals!BZ29)</f>
        <v/>
      </c>
      <c r="BZ121" s="392">
        <f>IF(ISBLANK(Actuals!CA29),-10400*Escalation!$B$75,Actuals!CA29)</f>
        <v/>
      </c>
      <c r="CA121" s="392">
        <f>IF(ISBLANK(Actuals!CB29),-10400*Escalation!$B$76,Actuals!CB29)</f>
        <v/>
      </c>
      <c r="CB121" s="392">
        <f>IF(ISBLANK(Actuals!CC29),-10400*Escalation!$B$77,Actuals!CC29)</f>
        <v/>
      </c>
      <c r="CC121" s="392">
        <f>IF(ISBLANK(Actuals!CD29),-10400*Escalation!$B$78,Actuals!CD29)</f>
        <v/>
      </c>
      <c r="CD121" s="392">
        <f>IF(ISBLANK(Actuals!CE29),-10400*Escalation!$B$79,Actuals!CE29)</f>
        <v/>
      </c>
      <c r="CE121" s="392">
        <f>IF(ISBLANK(Actuals!CF29),-10400*Escalation!$B$80,Actuals!CF29)</f>
        <v/>
      </c>
      <c r="CF121" s="392">
        <f>IF(ISBLANK(Actuals!CG29),-10400*Escalation!$B$81,Actuals!CG29)</f>
        <v/>
      </c>
      <c r="CG121" s="392">
        <f>IF(ISBLANK(Actuals!CH29),-10400*Escalation!$B$82,Actuals!CH29)</f>
        <v/>
      </c>
      <c r="CH121" s="392">
        <f>IF(ISBLANK(Actuals!CI29),-10400*Escalation!$B$83,Actuals!CI29)</f>
        <v/>
      </c>
      <c r="CI121" s="392">
        <f>IF(ISBLANK(Actuals!CJ29),-10400*Escalation!$B$84,Actuals!CJ29)</f>
        <v/>
      </c>
      <c r="CJ121" s="392">
        <f>IF(ISBLANK(Actuals!CK29),-10400*Escalation!$B$85,Actuals!CK29)</f>
        <v/>
      </c>
      <c r="CK121" s="392">
        <f>IF(ISBLANK(Actuals!CL29),-10400*Escalation!$B$86,Actuals!CL29)</f>
        <v/>
      </c>
      <c r="CL121" s="392">
        <f>IF(ISBLANK(Actuals!CM29),-10400*Escalation!$B$87,Actuals!CM29)</f>
        <v/>
      </c>
      <c r="CM121" s="392">
        <f>IF(ISBLANK(Actuals!CN29),-10400*Escalation!$B$88,Actuals!CN29)</f>
        <v/>
      </c>
      <c r="CN121" s="392">
        <f>IF(ISBLANK(Actuals!CO29),-10400*Escalation!$B$89,Actuals!CO29)</f>
        <v/>
      </c>
      <c r="CO121" s="392">
        <f>IF(ISBLANK(Actuals!CP29),-10400*Escalation!$B$90,Actuals!CP29)</f>
        <v/>
      </c>
      <c r="CP121" s="392">
        <f>IF(ISBLANK(Actuals!CQ29),-10400*Escalation!$B$91,Actuals!CQ29)</f>
        <v/>
      </c>
      <c r="CQ121" s="392">
        <f>IF(ISBLANK(Actuals!CR29),-10400*Escalation!$B$92,Actuals!CR29)</f>
        <v/>
      </c>
      <c r="CR121" s="392">
        <f>IF(ISBLANK(Actuals!CS29),-10400*Escalation!$B$93,Actuals!CS29)</f>
        <v/>
      </c>
      <c r="CS121" s="392">
        <f>IF(ISBLANK(Actuals!CT29),-10400*Escalation!$B$94,Actuals!CT29)</f>
        <v/>
      </c>
      <c r="CT121" s="392">
        <f>IF(ISBLANK(Actuals!CU29),-10400*Escalation!$B$95,Actuals!CU29)</f>
        <v/>
      </c>
      <c r="CU121" s="392">
        <f>IF(ISBLANK(Actuals!CV29),-10400*Escalation!$B$96,Actuals!CV29)</f>
        <v/>
      </c>
      <c r="CV121" s="392">
        <f>IF(ISBLANK(Actuals!CW29),-10400*Escalation!$B$97,Actuals!CW29)</f>
        <v/>
      </c>
      <c r="CW121" s="392">
        <f>IF(ISBLANK(Actuals!CX29),-10400*Escalation!$B$98,Actuals!CX29)</f>
        <v/>
      </c>
      <c r="CX121" s="392">
        <f>IF(ISBLANK(Actuals!CY29),-10400*Escalation!$B$99,Actuals!CY29)</f>
        <v/>
      </c>
      <c r="CY121" s="392">
        <f>IF(ISBLANK(Actuals!CZ29),-10400*Escalation!$B$100,Actuals!CZ29)</f>
        <v/>
      </c>
      <c r="CZ121" s="392">
        <f>IF(ISBLANK(Actuals!DA29),-10400*Escalation!$B$101,Actuals!DA29)</f>
        <v/>
      </c>
      <c r="DA121" s="392">
        <f>IF(ISBLANK(Actuals!DB29),-10400*Escalation!$B$102,Actuals!DB29)</f>
        <v/>
      </c>
      <c r="DB121" s="392">
        <f>IF(ISBLANK(Actuals!DC29),-10400*Escalation!$B$103,Actuals!DC29)</f>
        <v/>
      </c>
      <c r="DC121" s="392">
        <f>IF(ISBLANK(Actuals!DD29),-10400*Escalation!$B$104,Actuals!DD29)</f>
        <v/>
      </c>
      <c r="DD121" s="392">
        <f>IF(ISBLANK(Actuals!DE29),-10400*Escalation!$B$105,Actuals!DE29)</f>
        <v/>
      </c>
      <c r="DE121" s="392">
        <f>IF(ISBLANK(Actuals!DF29),-10400*Escalation!$B$106,Actuals!DF29)</f>
        <v/>
      </c>
    </row>
    <row r="122" ht="15" customFormat="1" customHeight="1" s="380">
      <c r="A122" s="397" t="inlineStr">
        <is>
          <t>5200-1000 Office Supplies and Expenses</t>
        </is>
      </c>
      <c r="B122" s="392">
        <f>IF(ISBLANK(Actuals!C30),0,Actuals!C30)</f>
        <v/>
      </c>
      <c r="C122" s="392">
        <f>IF(ISBLANK(Actuals!D30),0,Actuals!D30)</f>
        <v/>
      </c>
      <c r="D122" s="392">
        <f>IF(ISBLANK(Actuals!E30),0,Actuals!E30)</f>
        <v/>
      </c>
      <c r="E122" s="392">
        <f>IF(ISBLANK(Actuals!F30),-4024.64*Escalation!$B$2,Actuals!F30)</f>
        <v/>
      </c>
      <c r="F122" s="392">
        <f>IF(ISBLANK(Actuals!G30),-4024.64*Escalation!$B$3,Actuals!G30)</f>
        <v/>
      </c>
      <c r="G122" s="392">
        <f>IF(ISBLANK(Actuals!H30),-4024.64*Escalation!$B$4,Actuals!H30)</f>
        <v/>
      </c>
      <c r="H122" s="392">
        <f>IF(ISBLANK(Actuals!I30),-4024.64*Escalation!$B$5,Actuals!I30)</f>
        <v/>
      </c>
      <c r="I122" s="392">
        <f>IF(ISBLANK(Actuals!J30),-4024.64*Escalation!$B$6,Actuals!J30)</f>
        <v/>
      </c>
      <c r="J122" s="392">
        <f>IF(ISBLANK(Actuals!K30),-4024.64*Escalation!$B$7,Actuals!K30)</f>
        <v/>
      </c>
      <c r="K122" s="392">
        <f>IF(ISBLANK(Actuals!L30),-4024.64*Escalation!$B$8,Actuals!L30)</f>
        <v/>
      </c>
      <c r="L122" s="392">
        <f>IF(ISBLANK(Actuals!M30),-4024.64*Escalation!$B$9,Actuals!M30)</f>
        <v/>
      </c>
      <c r="M122" s="392">
        <f>IF(ISBLANK(Actuals!N30),-4024.64*Escalation!$B$10,Actuals!N30)</f>
        <v/>
      </c>
      <c r="N122" s="392">
        <f>IF(ISBLANK(Actuals!O30),-4024.64*Escalation!$B$11,Actuals!O30)</f>
        <v/>
      </c>
      <c r="O122" s="392">
        <f>IF(ISBLANK(Actuals!P30),-4024.64*Escalation!$B$12,Actuals!P30)</f>
        <v/>
      </c>
      <c r="P122" s="392">
        <f>IF(ISBLANK(Actuals!Q30),-4024.64*Escalation!$B$13,Actuals!Q30)</f>
        <v/>
      </c>
      <c r="Q122" s="392">
        <f>IF(ISBLANK(Actuals!R30),-4024.64*Escalation!$B$14,Actuals!R30)</f>
        <v/>
      </c>
      <c r="R122" s="392">
        <f>IF(ISBLANK(Actuals!S30),-4024.64*Escalation!$B$15,Actuals!S30)</f>
        <v/>
      </c>
      <c r="S122" s="392">
        <f>IF(ISBLANK(Actuals!T30),-4024.64*Escalation!$B$16,Actuals!T30)</f>
        <v/>
      </c>
      <c r="T122" s="392">
        <f>IF(ISBLANK(Actuals!U30),-4024.64*Escalation!$B$17,Actuals!U30)</f>
        <v/>
      </c>
      <c r="U122" s="392">
        <f>IF(ISBLANK(Actuals!V30),-4024.64*Escalation!$B$18,Actuals!V30)</f>
        <v/>
      </c>
      <c r="V122" s="392">
        <f>IF(ISBLANK(Actuals!W30),-4024.64*Escalation!$B$19,Actuals!W30)</f>
        <v/>
      </c>
      <c r="W122" s="392">
        <f>IF(ISBLANK(Actuals!X30),-4024.64*Escalation!$B$20,Actuals!X30)</f>
        <v/>
      </c>
      <c r="X122" s="392">
        <f>IF(ISBLANK(Actuals!Y30),-4024.64*Escalation!$B$21,Actuals!Y30)</f>
        <v/>
      </c>
      <c r="Y122" s="392">
        <f>IF(ISBLANK(Actuals!Z30),-4024.64*Escalation!$B$22,Actuals!Z30)</f>
        <v/>
      </c>
      <c r="Z122" s="392">
        <f>IF(ISBLANK(Actuals!AA30),-4024.64*Escalation!$B$23,Actuals!AA30)</f>
        <v/>
      </c>
      <c r="AA122" s="392">
        <f>IF(ISBLANK(Actuals!AB30),-4024.64*Escalation!$B$24,Actuals!AB30)</f>
        <v/>
      </c>
      <c r="AB122" s="392">
        <f>IF(ISBLANK(Actuals!AC30),-4024.64*Escalation!$B$25,Actuals!AC30)</f>
        <v/>
      </c>
      <c r="AC122" s="392">
        <f>IF(ISBLANK(Actuals!AD30),-4024.64*Escalation!$B$26,Actuals!AD30)</f>
        <v/>
      </c>
      <c r="AD122" s="392">
        <f>IF(ISBLANK(Actuals!AE30),-4024.64*Escalation!$B$27,Actuals!AE30)</f>
        <v/>
      </c>
      <c r="AE122" s="392">
        <f>IF(ISBLANK(Actuals!AF30),-4024.64*Escalation!$B$28,Actuals!AF30)</f>
        <v/>
      </c>
      <c r="AF122" s="392">
        <f>IF(ISBLANK(Actuals!AG30),-4024.64*Escalation!$B$29,Actuals!AG30)</f>
        <v/>
      </c>
      <c r="AG122" s="392">
        <f>IF(ISBLANK(Actuals!AH30),-4024.64*Escalation!$B$30,Actuals!AH30)</f>
        <v/>
      </c>
      <c r="AH122" s="392">
        <f>IF(ISBLANK(Actuals!AI30),-4024.64*Escalation!$B$31,Actuals!AI30)</f>
        <v/>
      </c>
      <c r="AI122" s="392">
        <f>IF(ISBLANK(Actuals!AJ30),-4024.64*Escalation!$B$32,Actuals!AJ30)</f>
        <v/>
      </c>
      <c r="AJ122" s="392">
        <f>IF(ISBLANK(Actuals!AK30),-4024.64*Escalation!$B$33,Actuals!AK30)</f>
        <v/>
      </c>
      <c r="AK122" s="392">
        <f>IF(ISBLANK(Actuals!AL30),-4024.64*Escalation!$B$34,Actuals!AL30)</f>
        <v/>
      </c>
      <c r="AL122" s="392">
        <f>IF(ISBLANK(Actuals!AM30),-4024.64*Escalation!$B$35,Actuals!AM30)</f>
        <v/>
      </c>
      <c r="AM122" s="392">
        <f>IF(ISBLANK(Actuals!AN30),-4024.64*Escalation!$B$36,Actuals!AN30)</f>
        <v/>
      </c>
      <c r="AN122" s="392">
        <f>IF(ISBLANK(Actuals!AO30),-4024.64*Escalation!$B$37,Actuals!AO30)</f>
        <v/>
      </c>
      <c r="AO122" s="392">
        <f>IF(ISBLANK(Actuals!AP30),-4024.64*Escalation!$B$38,Actuals!AP30)</f>
        <v/>
      </c>
      <c r="AP122" s="392">
        <f>IF(ISBLANK(Actuals!AQ30),-4024.64*Escalation!$B$39,Actuals!AQ30)</f>
        <v/>
      </c>
      <c r="AQ122" s="392">
        <f>IF(ISBLANK(Actuals!AR30),-4024.64*Escalation!$B$40,Actuals!AR30)</f>
        <v/>
      </c>
      <c r="AR122" s="392">
        <f>IF(ISBLANK(Actuals!AS30),-4024.64*Escalation!$B$41,Actuals!AS30)</f>
        <v/>
      </c>
      <c r="AS122" s="392">
        <f>IF(ISBLANK(Actuals!AT30),-4024.64*Escalation!$B$42,Actuals!AT30)</f>
        <v/>
      </c>
      <c r="AT122" s="392">
        <f>IF(ISBLANK(Actuals!AU30),-4024.64*Escalation!$B$43,Actuals!AU30)</f>
        <v/>
      </c>
      <c r="AU122" s="392">
        <f>IF(ISBLANK(Actuals!AV30),-4024.64*Escalation!$B$44,Actuals!AV30)</f>
        <v/>
      </c>
      <c r="AV122" s="392">
        <f>IF(ISBLANK(Actuals!AW30),-4024.64*Escalation!$B$45,Actuals!AW30)</f>
        <v/>
      </c>
      <c r="AW122" s="392">
        <f>IF(ISBLANK(Actuals!AX30),-4024.64*Escalation!$B$46,Actuals!AX30)</f>
        <v/>
      </c>
      <c r="AX122" s="392">
        <f>IF(ISBLANK(Actuals!AY30),-4024.64*Escalation!$B$47,Actuals!AY30)</f>
        <v/>
      </c>
      <c r="AY122" s="392">
        <f>IF(ISBLANK(Actuals!AZ30),-4024.64*Escalation!$B$48,Actuals!AZ30)</f>
        <v/>
      </c>
      <c r="AZ122" s="392">
        <f>IF(ISBLANK(Actuals!BA30),-4024.64*Escalation!$B$49,Actuals!BA30)</f>
        <v/>
      </c>
      <c r="BA122" s="392">
        <f>IF(ISBLANK(Actuals!BB30),-4024.64*Escalation!$B$50,Actuals!BB30)</f>
        <v/>
      </c>
      <c r="BB122" s="392">
        <f>IF(ISBLANK(Actuals!BC30),-4024.64*Escalation!$B$51,Actuals!BC30)</f>
        <v/>
      </c>
      <c r="BC122" s="392">
        <f>IF(ISBLANK(Actuals!BD30),-4024.64*Escalation!$B$52,Actuals!BD30)</f>
        <v/>
      </c>
      <c r="BD122" s="392">
        <f>IF(ISBLANK(Actuals!BE30),-4024.64*Escalation!$B$53,Actuals!BE30)</f>
        <v/>
      </c>
      <c r="BE122" s="392">
        <f>IF(ISBLANK(Actuals!BF30),-4024.64*Escalation!$B$54,Actuals!BF30)</f>
        <v/>
      </c>
      <c r="BF122" s="392">
        <f>IF(ISBLANK(Actuals!BG30),-4024.64*Escalation!$B$55,Actuals!BG30)</f>
        <v/>
      </c>
      <c r="BG122" s="392">
        <f>IF(ISBLANK(Actuals!BH30),-4024.64*Escalation!$B$56,Actuals!BH30)</f>
        <v/>
      </c>
      <c r="BH122" s="392">
        <f>IF(ISBLANK(Actuals!BI30),-4024.64*Escalation!$B$57,Actuals!BI30)</f>
        <v/>
      </c>
      <c r="BI122" s="392">
        <f>IF(ISBLANK(Actuals!BJ30),-4024.64*Escalation!$B$58,Actuals!BJ30)</f>
        <v/>
      </c>
      <c r="BJ122" s="392">
        <f>IF(ISBLANK(Actuals!BK30),-4024.64*Escalation!$B$59,Actuals!BK30)</f>
        <v/>
      </c>
      <c r="BK122" s="392">
        <f>IF(ISBLANK(Actuals!BL30),-4024.64*Escalation!$B$60,Actuals!BL30)</f>
        <v/>
      </c>
      <c r="BL122" s="392">
        <f>IF(ISBLANK(Actuals!BM30),-4024.64*Escalation!$B$61,Actuals!BM30)</f>
        <v/>
      </c>
      <c r="BM122" s="392">
        <f>IF(ISBLANK(Actuals!BN30),-4024.64*Escalation!$B$62,Actuals!BN30)</f>
        <v/>
      </c>
      <c r="BN122" s="392">
        <f>IF(ISBLANK(Actuals!BO30),-4024.64*Escalation!$B$63,Actuals!BO30)</f>
        <v/>
      </c>
      <c r="BO122" s="392">
        <f>IF(ISBLANK(Actuals!BP30),-4024.64*Escalation!$B$64,Actuals!BP30)</f>
        <v/>
      </c>
      <c r="BP122" s="392">
        <f>IF(ISBLANK(Actuals!BQ30),-4024.64*Escalation!$B$65,Actuals!BQ30)</f>
        <v/>
      </c>
      <c r="BQ122" s="392">
        <f>IF(ISBLANK(Actuals!BR30),-4024.64*Escalation!$B$66,Actuals!BR30)</f>
        <v/>
      </c>
      <c r="BR122" s="392">
        <f>IF(ISBLANK(Actuals!BS30),-4024.64*Escalation!$B$67,Actuals!BS30)</f>
        <v/>
      </c>
      <c r="BS122" s="392">
        <f>IF(ISBLANK(Actuals!BT30),-4024.64*Escalation!$B$68,Actuals!BT30)</f>
        <v/>
      </c>
      <c r="BT122" s="392">
        <f>IF(ISBLANK(Actuals!BU30),-4024.64*Escalation!$B$69,Actuals!BU30)</f>
        <v/>
      </c>
      <c r="BU122" s="392">
        <f>IF(ISBLANK(Actuals!BV30),-4024.64*Escalation!$B$70,Actuals!BV30)</f>
        <v/>
      </c>
      <c r="BV122" s="392">
        <f>IF(ISBLANK(Actuals!BW30),-4024.64*Escalation!$B$71,Actuals!BW30)</f>
        <v/>
      </c>
      <c r="BW122" s="392">
        <f>IF(ISBLANK(Actuals!BX30),-4024.64*Escalation!$B$72,Actuals!BX30)</f>
        <v/>
      </c>
      <c r="BX122" s="392">
        <f>IF(ISBLANK(Actuals!BY30),-4024.64*Escalation!$B$73,Actuals!BY30)</f>
        <v/>
      </c>
      <c r="BY122" s="392">
        <f>IF(ISBLANK(Actuals!BZ30),-4024.64*Escalation!$B$74,Actuals!BZ30)</f>
        <v/>
      </c>
      <c r="BZ122" s="392">
        <f>IF(ISBLANK(Actuals!CA30),-4024.64*Escalation!$B$75,Actuals!CA30)</f>
        <v/>
      </c>
      <c r="CA122" s="392">
        <f>IF(ISBLANK(Actuals!CB30),-4024.64*Escalation!$B$76,Actuals!CB30)</f>
        <v/>
      </c>
      <c r="CB122" s="392">
        <f>IF(ISBLANK(Actuals!CC30),-4024.64*Escalation!$B$77,Actuals!CC30)</f>
        <v/>
      </c>
      <c r="CC122" s="392">
        <f>IF(ISBLANK(Actuals!CD30),-4024.64*Escalation!$B$78,Actuals!CD30)</f>
        <v/>
      </c>
      <c r="CD122" s="392">
        <f>IF(ISBLANK(Actuals!CE30),-4024.64*Escalation!$B$79,Actuals!CE30)</f>
        <v/>
      </c>
      <c r="CE122" s="392">
        <f>IF(ISBLANK(Actuals!CF30),-4024.64*Escalation!$B$80,Actuals!CF30)</f>
        <v/>
      </c>
      <c r="CF122" s="392">
        <f>IF(ISBLANK(Actuals!CG30),-4024.64*Escalation!$B$81,Actuals!CG30)</f>
        <v/>
      </c>
      <c r="CG122" s="392">
        <f>IF(ISBLANK(Actuals!CH30),-4024.64*Escalation!$B$82,Actuals!CH30)</f>
        <v/>
      </c>
      <c r="CH122" s="392">
        <f>IF(ISBLANK(Actuals!CI30),-4024.64*Escalation!$B$83,Actuals!CI30)</f>
        <v/>
      </c>
      <c r="CI122" s="392">
        <f>IF(ISBLANK(Actuals!CJ30),-4024.64*Escalation!$B$84,Actuals!CJ30)</f>
        <v/>
      </c>
      <c r="CJ122" s="392">
        <f>IF(ISBLANK(Actuals!CK30),-4024.64*Escalation!$B$85,Actuals!CK30)</f>
        <v/>
      </c>
      <c r="CK122" s="392">
        <f>IF(ISBLANK(Actuals!CL30),-4024.64*Escalation!$B$86,Actuals!CL30)</f>
        <v/>
      </c>
      <c r="CL122" s="392">
        <f>IF(ISBLANK(Actuals!CM30),-4024.64*Escalation!$B$87,Actuals!CM30)</f>
        <v/>
      </c>
      <c r="CM122" s="392">
        <f>IF(ISBLANK(Actuals!CN30),-4024.64*Escalation!$B$88,Actuals!CN30)</f>
        <v/>
      </c>
      <c r="CN122" s="392">
        <f>IF(ISBLANK(Actuals!CO30),-4024.64*Escalation!$B$89,Actuals!CO30)</f>
        <v/>
      </c>
      <c r="CO122" s="392">
        <f>IF(ISBLANK(Actuals!CP30),-4024.64*Escalation!$B$90,Actuals!CP30)</f>
        <v/>
      </c>
      <c r="CP122" s="392">
        <f>IF(ISBLANK(Actuals!CQ30),-4024.64*Escalation!$B$91,Actuals!CQ30)</f>
        <v/>
      </c>
      <c r="CQ122" s="392">
        <f>IF(ISBLANK(Actuals!CR30),-4024.64*Escalation!$B$92,Actuals!CR30)</f>
        <v/>
      </c>
      <c r="CR122" s="392">
        <f>IF(ISBLANK(Actuals!CS30),-4024.64*Escalation!$B$93,Actuals!CS30)</f>
        <v/>
      </c>
      <c r="CS122" s="392">
        <f>IF(ISBLANK(Actuals!CT30),-4024.64*Escalation!$B$94,Actuals!CT30)</f>
        <v/>
      </c>
      <c r="CT122" s="392">
        <f>IF(ISBLANK(Actuals!CU30),-4024.64*Escalation!$B$95,Actuals!CU30)</f>
        <v/>
      </c>
      <c r="CU122" s="392">
        <f>IF(ISBLANK(Actuals!CV30),-4024.64*Escalation!$B$96,Actuals!CV30)</f>
        <v/>
      </c>
      <c r="CV122" s="392">
        <f>IF(ISBLANK(Actuals!CW30),-4024.64*Escalation!$B$97,Actuals!CW30)</f>
        <v/>
      </c>
      <c r="CW122" s="392">
        <f>IF(ISBLANK(Actuals!CX30),-4024.64*Escalation!$B$98,Actuals!CX30)</f>
        <v/>
      </c>
      <c r="CX122" s="392">
        <f>IF(ISBLANK(Actuals!CY30),-4024.64*Escalation!$B$99,Actuals!CY30)</f>
        <v/>
      </c>
      <c r="CY122" s="392">
        <f>IF(ISBLANK(Actuals!CZ30),-4024.64*Escalation!$B$100,Actuals!CZ30)</f>
        <v/>
      </c>
      <c r="CZ122" s="392">
        <f>IF(ISBLANK(Actuals!DA30),-4024.64*Escalation!$B$101,Actuals!DA30)</f>
        <v/>
      </c>
      <c r="DA122" s="392">
        <f>IF(ISBLANK(Actuals!DB30),-4024.64*Escalation!$B$102,Actuals!DB30)</f>
        <v/>
      </c>
      <c r="DB122" s="392">
        <f>IF(ISBLANK(Actuals!DC30),-4024.64*Escalation!$B$103,Actuals!DC30)</f>
        <v/>
      </c>
      <c r="DC122" s="392">
        <f>IF(ISBLANK(Actuals!DD30),-4024.64*Escalation!$B$104,Actuals!DD30)</f>
        <v/>
      </c>
      <c r="DD122" s="392">
        <f>IF(ISBLANK(Actuals!DE30),-4024.64*Escalation!$B$105,Actuals!DE30)</f>
        <v/>
      </c>
      <c r="DE122" s="392">
        <f>IF(ISBLANK(Actuals!DF30),-4024.64*Escalation!$B$106,Actuals!DF30)</f>
        <v/>
      </c>
    </row>
    <row r="123" ht="15" customFormat="1" customHeight="1" s="380">
      <c r="A123" s="397" t="inlineStr">
        <is>
          <t>5200-1002 Printing and Reproduction</t>
        </is>
      </c>
      <c r="B123" s="392">
        <f>IF(ISBLANK(Actuals!C31),0,Actuals!C31)</f>
        <v/>
      </c>
      <c r="C123" s="392">
        <f>IF(ISBLANK(Actuals!D31),0,Actuals!D31)</f>
        <v/>
      </c>
      <c r="D123" s="392">
        <f>IF(ISBLANK(Actuals!E31),0,Actuals!E31)</f>
        <v/>
      </c>
      <c r="E123" s="392">
        <f>IF(ISBLANK(Actuals!F31),-359.13*Escalation!$B$2,Actuals!F31)</f>
        <v/>
      </c>
      <c r="F123" s="392">
        <f>IF(ISBLANK(Actuals!G31),-359.13*Escalation!$B$3,Actuals!G31)</f>
        <v/>
      </c>
      <c r="G123" s="392">
        <f>IF(ISBLANK(Actuals!H31),-359.13*Escalation!$B$4,Actuals!H31)</f>
        <v/>
      </c>
      <c r="H123" s="392">
        <f>IF(ISBLANK(Actuals!I31),-359.13*Escalation!$B$5,Actuals!I31)</f>
        <v/>
      </c>
      <c r="I123" s="392">
        <f>IF(ISBLANK(Actuals!J31),-359.13*Escalation!$B$6,Actuals!J31)</f>
        <v/>
      </c>
      <c r="J123" s="392">
        <f>IF(ISBLANK(Actuals!K31),-359.13*Escalation!$B$7,Actuals!K31)</f>
        <v/>
      </c>
      <c r="K123" s="392">
        <f>IF(ISBLANK(Actuals!L31),-359.13*Escalation!$B$8,Actuals!L31)</f>
        <v/>
      </c>
      <c r="L123" s="392">
        <f>IF(ISBLANK(Actuals!M31),-359.13*Escalation!$B$9,Actuals!M31)</f>
        <v/>
      </c>
      <c r="M123" s="392">
        <f>IF(ISBLANK(Actuals!N31),-359.13*Escalation!$B$10,Actuals!N31)</f>
        <v/>
      </c>
      <c r="N123" s="392">
        <f>IF(ISBLANK(Actuals!O31),-359.13*Escalation!$B$11,Actuals!O31)</f>
        <v/>
      </c>
      <c r="O123" s="392">
        <f>IF(ISBLANK(Actuals!P31),-359.13*Escalation!$B$12,Actuals!P31)</f>
        <v/>
      </c>
      <c r="P123" s="392">
        <f>IF(ISBLANK(Actuals!Q31),-359.13*Escalation!$B$13,Actuals!Q31)</f>
        <v/>
      </c>
      <c r="Q123" s="392">
        <f>IF(ISBLANK(Actuals!R31),-359.13*Escalation!$B$14,Actuals!R31)</f>
        <v/>
      </c>
      <c r="R123" s="392">
        <f>IF(ISBLANK(Actuals!S31),-359.13*Escalation!$B$15,Actuals!S31)</f>
        <v/>
      </c>
      <c r="S123" s="392">
        <f>IF(ISBLANK(Actuals!T31),-359.13*Escalation!$B$16,Actuals!T31)</f>
        <v/>
      </c>
      <c r="T123" s="392">
        <f>IF(ISBLANK(Actuals!U31),-359.13*Escalation!$B$17,Actuals!U31)</f>
        <v/>
      </c>
      <c r="U123" s="392">
        <f>IF(ISBLANK(Actuals!V31),-359.13*Escalation!$B$18,Actuals!V31)</f>
        <v/>
      </c>
      <c r="V123" s="392">
        <f>IF(ISBLANK(Actuals!W31),-359.13*Escalation!$B$19,Actuals!W31)</f>
        <v/>
      </c>
      <c r="W123" s="392">
        <f>IF(ISBLANK(Actuals!X31),-359.13*Escalation!$B$20,Actuals!X31)</f>
        <v/>
      </c>
      <c r="X123" s="392">
        <f>IF(ISBLANK(Actuals!Y31),-359.13*Escalation!$B$21,Actuals!Y31)</f>
        <v/>
      </c>
      <c r="Y123" s="392">
        <f>IF(ISBLANK(Actuals!Z31),-359.13*Escalation!$B$22,Actuals!Z31)</f>
        <v/>
      </c>
      <c r="Z123" s="392">
        <f>IF(ISBLANK(Actuals!AA31),-359.13*Escalation!$B$23,Actuals!AA31)</f>
        <v/>
      </c>
      <c r="AA123" s="392">
        <f>IF(ISBLANK(Actuals!AB31),-359.13*Escalation!$B$24,Actuals!AB31)</f>
        <v/>
      </c>
      <c r="AB123" s="392">
        <f>IF(ISBLANK(Actuals!AC31),-359.13*Escalation!$B$25,Actuals!AC31)</f>
        <v/>
      </c>
      <c r="AC123" s="392">
        <f>IF(ISBLANK(Actuals!AD31),-359.13*Escalation!$B$26,Actuals!AD31)</f>
        <v/>
      </c>
      <c r="AD123" s="392">
        <f>IF(ISBLANK(Actuals!AE31),-359.13*Escalation!$B$27,Actuals!AE31)</f>
        <v/>
      </c>
      <c r="AE123" s="392">
        <f>IF(ISBLANK(Actuals!AF31),-359.13*Escalation!$B$28,Actuals!AF31)</f>
        <v/>
      </c>
      <c r="AF123" s="392">
        <f>IF(ISBLANK(Actuals!AG31),-359.13*Escalation!$B$29,Actuals!AG31)</f>
        <v/>
      </c>
      <c r="AG123" s="392">
        <f>IF(ISBLANK(Actuals!AH31),-359.13*Escalation!$B$30,Actuals!AH31)</f>
        <v/>
      </c>
      <c r="AH123" s="392">
        <f>IF(ISBLANK(Actuals!AI31),-359.13*Escalation!$B$31,Actuals!AI31)</f>
        <v/>
      </c>
      <c r="AI123" s="392">
        <f>IF(ISBLANK(Actuals!AJ31),-359.13*Escalation!$B$32,Actuals!AJ31)</f>
        <v/>
      </c>
      <c r="AJ123" s="392">
        <f>IF(ISBLANK(Actuals!AK31),-359.13*Escalation!$B$33,Actuals!AK31)</f>
        <v/>
      </c>
      <c r="AK123" s="392">
        <f>IF(ISBLANK(Actuals!AL31),-359.13*Escalation!$B$34,Actuals!AL31)</f>
        <v/>
      </c>
      <c r="AL123" s="392">
        <f>IF(ISBLANK(Actuals!AM31),-359.13*Escalation!$B$35,Actuals!AM31)</f>
        <v/>
      </c>
      <c r="AM123" s="392">
        <f>IF(ISBLANK(Actuals!AN31),-359.13*Escalation!$B$36,Actuals!AN31)</f>
        <v/>
      </c>
      <c r="AN123" s="392">
        <f>IF(ISBLANK(Actuals!AO31),-359.13*Escalation!$B$37,Actuals!AO31)</f>
        <v/>
      </c>
      <c r="AO123" s="392">
        <f>IF(ISBLANK(Actuals!AP31),-359.13*Escalation!$B$38,Actuals!AP31)</f>
        <v/>
      </c>
      <c r="AP123" s="392">
        <f>IF(ISBLANK(Actuals!AQ31),-359.13*Escalation!$B$39,Actuals!AQ31)</f>
        <v/>
      </c>
      <c r="AQ123" s="392">
        <f>IF(ISBLANK(Actuals!AR31),-359.13*Escalation!$B$40,Actuals!AR31)</f>
        <v/>
      </c>
      <c r="AR123" s="392">
        <f>IF(ISBLANK(Actuals!AS31),-359.13*Escalation!$B$41,Actuals!AS31)</f>
        <v/>
      </c>
      <c r="AS123" s="392">
        <f>IF(ISBLANK(Actuals!AT31),-359.13*Escalation!$B$42,Actuals!AT31)</f>
        <v/>
      </c>
      <c r="AT123" s="392">
        <f>IF(ISBLANK(Actuals!AU31),-359.13*Escalation!$B$43,Actuals!AU31)</f>
        <v/>
      </c>
      <c r="AU123" s="392">
        <f>IF(ISBLANK(Actuals!AV31),-359.13*Escalation!$B$44,Actuals!AV31)</f>
        <v/>
      </c>
      <c r="AV123" s="392">
        <f>IF(ISBLANK(Actuals!AW31),-359.13*Escalation!$B$45,Actuals!AW31)</f>
        <v/>
      </c>
      <c r="AW123" s="392">
        <f>IF(ISBLANK(Actuals!AX31),-359.13*Escalation!$B$46,Actuals!AX31)</f>
        <v/>
      </c>
      <c r="AX123" s="392">
        <f>IF(ISBLANK(Actuals!AY31),-359.13*Escalation!$B$47,Actuals!AY31)</f>
        <v/>
      </c>
      <c r="AY123" s="392">
        <f>IF(ISBLANK(Actuals!AZ31),-359.13*Escalation!$B$48,Actuals!AZ31)</f>
        <v/>
      </c>
      <c r="AZ123" s="392">
        <f>IF(ISBLANK(Actuals!BA31),-359.13*Escalation!$B$49,Actuals!BA31)</f>
        <v/>
      </c>
      <c r="BA123" s="392">
        <f>IF(ISBLANK(Actuals!BB31),-359.13*Escalation!$B$50,Actuals!BB31)</f>
        <v/>
      </c>
      <c r="BB123" s="392">
        <f>IF(ISBLANK(Actuals!BC31),-359.13*Escalation!$B$51,Actuals!BC31)</f>
        <v/>
      </c>
      <c r="BC123" s="392">
        <f>IF(ISBLANK(Actuals!BD31),-359.13*Escalation!$B$52,Actuals!BD31)</f>
        <v/>
      </c>
      <c r="BD123" s="392">
        <f>IF(ISBLANK(Actuals!BE31),-359.13*Escalation!$B$53,Actuals!BE31)</f>
        <v/>
      </c>
      <c r="BE123" s="392">
        <f>IF(ISBLANK(Actuals!BF31),-359.13*Escalation!$B$54,Actuals!BF31)</f>
        <v/>
      </c>
      <c r="BF123" s="392">
        <f>IF(ISBLANK(Actuals!BG31),-359.13*Escalation!$B$55,Actuals!BG31)</f>
        <v/>
      </c>
      <c r="BG123" s="392">
        <f>IF(ISBLANK(Actuals!BH31),-359.13*Escalation!$B$56,Actuals!BH31)</f>
        <v/>
      </c>
      <c r="BH123" s="392">
        <f>IF(ISBLANK(Actuals!BI31),-359.13*Escalation!$B$57,Actuals!BI31)</f>
        <v/>
      </c>
      <c r="BI123" s="392">
        <f>IF(ISBLANK(Actuals!BJ31),-359.13*Escalation!$B$58,Actuals!BJ31)</f>
        <v/>
      </c>
      <c r="BJ123" s="392">
        <f>IF(ISBLANK(Actuals!BK31),-359.13*Escalation!$B$59,Actuals!BK31)</f>
        <v/>
      </c>
      <c r="BK123" s="392">
        <f>IF(ISBLANK(Actuals!BL31),-359.13*Escalation!$B$60,Actuals!BL31)</f>
        <v/>
      </c>
      <c r="BL123" s="392">
        <f>IF(ISBLANK(Actuals!BM31),-359.13*Escalation!$B$61,Actuals!BM31)</f>
        <v/>
      </c>
      <c r="BM123" s="392">
        <f>IF(ISBLANK(Actuals!BN31),-359.13*Escalation!$B$62,Actuals!BN31)</f>
        <v/>
      </c>
      <c r="BN123" s="392">
        <f>IF(ISBLANK(Actuals!BO31),-359.13*Escalation!$B$63,Actuals!BO31)</f>
        <v/>
      </c>
      <c r="BO123" s="392">
        <f>IF(ISBLANK(Actuals!BP31),-359.13*Escalation!$B$64,Actuals!BP31)</f>
        <v/>
      </c>
      <c r="BP123" s="392">
        <f>IF(ISBLANK(Actuals!BQ31),-359.13*Escalation!$B$65,Actuals!BQ31)</f>
        <v/>
      </c>
      <c r="BQ123" s="392">
        <f>IF(ISBLANK(Actuals!BR31),-359.13*Escalation!$B$66,Actuals!BR31)</f>
        <v/>
      </c>
      <c r="BR123" s="392">
        <f>IF(ISBLANK(Actuals!BS31),-359.13*Escalation!$B$67,Actuals!BS31)</f>
        <v/>
      </c>
      <c r="BS123" s="392">
        <f>IF(ISBLANK(Actuals!BT31),-359.13*Escalation!$B$68,Actuals!BT31)</f>
        <v/>
      </c>
      <c r="BT123" s="392">
        <f>IF(ISBLANK(Actuals!BU31),-359.13*Escalation!$B$69,Actuals!BU31)</f>
        <v/>
      </c>
      <c r="BU123" s="392">
        <f>IF(ISBLANK(Actuals!BV31),-359.13*Escalation!$B$70,Actuals!BV31)</f>
        <v/>
      </c>
      <c r="BV123" s="392">
        <f>IF(ISBLANK(Actuals!BW31),-359.13*Escalation!$B$71,Actuals!BW31)</f>
        <v/>
      </c>
      <c r="BW123" s="392">
        <f>IF(ISBLANK(Actuals!BX31),-359.13*Escalation!$B$72,Actuals!BX31)</f>
        <v/>
      </c>
      <c r="BX123" s="392">
        <f>IF(ISBLANK(Actuals!BY31),-359.13*Escalation!$B$73,Actuals!BY31)</f>
        <v/>
      </c>
      <c r="BY123" s="392">
        <f>IF(ISBLANK(Actuals!BZ31),-359.13*Escalation!$B$74,Actuals!BZ31)</f>
        <v/>
      </c>
      <c r="BZ123" s="392">
        <f>IF(ISBLANK(Actuals!CA31),-359.13*Escalation!$B$75,Actuals!CA31)</f>
        <v/>
      </c>
      <c r="CA123" s="392">
        <f>IF(ISBLANK(Actuals!CB31),-359.13*Escalation!$B$76,Actuals!CB31)</f>
        <v/>
      </c>
      <c r="CB123" s="392">
        <f>IF(ISBLANK(Actuals!CC31),-359.13*Escalation!$B$77,Actuals!CC31)</f>
        <v/>
      </c>
      <c r="CC123" s="392">
        <f>IF(ISBLANK(Actuals!CD31),-359.13*Escalation!$B$78,Actuals!CD31)</f>
        <v/>
      </c>
      <c r="CD123" s="392">
        <f>IF(ISBLANK(Actuals!CE31),-359.13*Escalation!$B$79,Actuals!CE31)</f>
        <v/>
      </c>
      <c r="CE123" s="392">
        <f>IF(ISBLANK(Actuals!CF31),-359.13*Escalation!$B$80,Actuals!CF31)</f>
        <v/>
      </c>
      <c r="CF123" s="392">
        <f>IF(ISBLANK(Actuals!CG31),-359.13*Escalation!$B$81,Actuals!CG31)</f>
        <v/>
      </c>
      <c r="CG123" s="392">
        <f>IF(ISBLANK(Actuals!CH31),-359.13*Escalation!$B$82,Actuals!CH31)</f>
        <v/>
      </c>
      <c r="CH123" s="392">
        <f>IF(ISBLANK(Actuals!CI31),-359.13*Escalation!$B$83,Actuals!CI31)</f>
        <v/>
      </c>
      <c r="CI123" s="392">
        <f>IF(ISBLANK(Actuals!CJ31),-359.13*Escalation!$B$84,Actuals!CJ31)</f>
        <v/>
      </c>
      <c r="CJ123" s="392">
        <f>IF(ISBLANK(Actuals!CK31),-359.13*Escalation!$B$85,Actuals!CK31)</f>
        <v/>
      </c>
      <c r="CK123" s="392">
        <f>IF(ISBLANK(Actuals!CL31),-359.13*Escalation!$B$86,Actuals!CL31)</f>
        <v/>
      </c>
      <c r="CL123" s="392">
        <f>IF(ISBLANK(Actuals!CM31),-359.13*Escalation!$B$87,Actuals!CM31)</f>
        <v/>
      </c>
      <c r="CM123" s="392">
        <f>IF(ISBLANK(Actuals!CN31),-359.13*Escalation!$B$88,Actuals!CN31)</f>
        <v/>
      </c>
      <c r="CN123" s="392">
        <f>IF(ISBLANK(Actuals!CO31),-359.13*Escalation!$B$89,Actuals!CO31)</f>
        <v/>
      </c>
      <c r="CO123" s="392">
        <f>IF(ISBLANK(Actuals!CP31),-359.13*Escalation!$B$90,Actuals!CP31)</f>
        <v/>
      </c>
      <c r="CP123" s="392">
        <f>IF(ISBLANK(Actuals!CQ31),-359.13*Escalation!$B$91,Actuals!CQ31)</f>
        <v/>
      </c>
      <c r="CQ123" s="392">
        <f>IF(ISBLANK(Actuals!CR31),-359.13*Escalation!$B$92,Actuals!CR31)</f>
        <v/>
      </c>
      <c r="CR123" s="392">
        <f>IF(ISBLANK(Actuals!CS31),-359.13*Escalation!$B$93,Actuals!CS31)</f>
        <v/>
      </c>
      <c r="CS123" s="392">
        <f>IF(ISBLANK(Actuals!CT31),-359.13*Escalation!$B$94,Actuals!CT31)</f>
        <v/>
      </c>
      <c r="CT123" s="392">
        <f>IF(ISBLANK(Actuals!CU31),-359.13*Escalation!$B$95,Actuals!CU31)</f>
        <v/>
      </c>
      <c r="CU123" s="392">
        <f>IF(ISBLANK(Actuals!CV31),-359.13*Escalation!$B$96,Actuals!CV31)</f>
        <v/>
      </c>
      <c r="CV123" s="392">
        <f>IF(ISBLANK(Actuals!CW31),-359.13*Escalation!$B$97,Actuals!CW31)</f>
        <v/>
      </c>
      <c r="CW123" s="392">
        <f>IF(ISBLANK(Actuals!CX31),-359.13*Escalation!$B$98,Actuals!CX31)</f>
        <v/>
      </c>
      <c r="CX123" s="392">
        <f>IF(ISBLANK(Actuals!CY31),-359.13*Escalation!$B$99,Actuals!CY31)</f>
        <v/>
      </c>
      <c r="CY123" s="392">
        <f>IF(ISBLANK(Actuals!CZ31),-359.13*Escalation!$B$100,Actuals!CZ31)</f>
        <v/>
      </c>
      <c r="CZ123" s="392">
        <f>IF(ISBLANK(Actuals!DA31),-359.13*Escalation!$B$101,Actuals!DA31)</f>
        <v/>
      </c>
      <c r="DA123" s="392">
        <f>IF(ISBLANK(Actuals!DB31),-359.13*Escalation!$B$102,Actuals!DB31)</f>
        <v/>
      </c>
      <c r="DB123" s="392">
        <f>IF(ISBLANK(Actuals!DC31),-359.13*Escalation!$B$103,Actuals!DC31)</f>
        <v/>
      </c>
      <c r="DC123" s="392">
        <f>IF(ISBLANK(Actuals!DD31),-359.13*Escalation!$B$104,Actuals!DD31)</f>
        <v/>
      </c>
      <c r="DD123" s="392">
        <f>IF(ISBLANK(Actuals!DE31),-359.13*Escalation!$B$105,Actuals!DE31)</f>
        <v/>
      </c>
      <c r="DE123" s="392">
        <f>IF(ISBLANK(Actuals!DF31),-359.13*Escalation!$B$106,Actuals!DF31)</f>
        <v/>
      </c>
    </row>
    <row r="124" ht="15" customFormat="1" customHeight="1" s="380">
      <c r="A124" s="397" t="inlineStr">
        <is>
          <t>5200-1050 Computer and IT Expenses</t>
        </is>
      </c>
      <c r="B124" s="392">
        <f>IF(ISBLANK(Actuals!C32),0,Actuals!C32)</f>
        <v/>
      </c>
      <c r="C124" s="392">
        <f>IF(ISBLANK(Actuals!D32),0,Actuals!D32)</f>
        <v/>
      </c>
      <c r="D124" s="392">
        <f>IF(ISBLANK(Actuals!E32),0,Actuals!E32)</f>
        <v/>
      </c>
      <c r="E124" s="392">
        <f>IF(ISBLANK(Actuals!F32),-26.33*Escalation!$B$2,Actuals!F32)</f>
        <v/>
      </c>
      <c r="F124" s="392">
        <f>IF(ISBLANK(Actuals!G32),-26.33*Escalation!$B$3,Actuals!G32)</f>
        <v/>
      </c>
      <c r="G124" s="392">
        <f>IF(ISBLANK(Actuals!H32),-26.33*Escalation!$B$4,Actuals!H32)</f>
        <v/>
      </c>
      <c r="H124" s="392">
        <f>IF(ISBLANK(Actuals!I32),-26.33*Escalation!$B$5,Actuals!I32)</f>
        <v/>
      </c>
      <c r="I124" s="392">
        <f>IF(ISBLANK(Actuals!J32),-26.33*Escalation!$B$6,Actuals!J32)</f>
        <v/>
      </c>
      <c r="J124" s="392">
        <f>IF(ISBLANK(Actuals!K32),-26.33*Escalation!$B$7,Actuals!K32)</f>
        <v/>
      </c>
      <c r="K124" s="392">
        <f>IF(ISBLANK(Actuals!L32),-26.33*Escalation!$B$8,Actuals!L32)</f>
        <v/>
      </c>
      <c r="L124" s="392">
        <f>IF(ISBLANK(Actuals!M32),-26.33*Escalation!$B$9,Actuals!M32)</f>
        <v/>
      </c>
      <c r="M124" s="392">
        <f>IF(ISBLANK(Actuals!N32),-26.33*Escalation!$B$10,Actuals!N32)</f>
        <v/>
      </c>
      <c r="N124" s="392">
        <f>IF(ISBLANK(Actuals!O32),-26.33*Escalation!$B$11,Actuals!O32)</f>
        <v/>
      </c>
      <c r="O124" s="392">
        <f>IF(ISBLANK(Actuals!P32),-26.33*Escalation!$B$12,Actuals!P32)</f>
        <v/>
      </c>
      <c r="P124" s="392">
        <f>IF(ISBLANK(Actuals!Q32),-26.33*Escalation!$B$13,Actuals!Q32)</f>
        <v/>
      </c>
      <c r="Q124" s="392">
        <f>IF(ISBLANK(Actuals!R32),-26.33*Escalation!$B$14,Actuals!R32)</f>
        <v/>
      </c>
      <c r="R124" s="392">
        <f>IF(ISBLANK(Actuals!S32),-26.33*Escalation!$B$15,Actuals!S32)</f>
        <v/>
      </c>
      <c r="S124" s="392">
        <f>IF(ISBLANK(Actuals!T32),-26.33*Escalation!$B$16,Actuals!T32)</f>
        <v/>
      </c>
      <c r="T124" s="392">
        <f>IF(ISBLANK(Actuals!U32),-26.33*Escalation!$B$17,Actuals!U32)</f>
        <v/>
      </c>
      <c r="U124" s="392">
        <f>IF(ISBLANK(Actuals!V32),-26.33*Escalation!$B$18,Actuals!V32)</f>
        <v/>
      </c>
      <c r="V124" s="392">
        <f>IF(ISBLANK(Actuals!W32),-26.33*Escalation!$B$19,Actuals!W32)</f>
        <v/>
      </c>
      <c r="W124" s="392">
        <f>IF(ISBLANK(Actuals!X32),-26.33*Escalation!$B$20,Actuals!X32)</f>
        <v/>
      </c>
      <c r="X124" s="392">
        <f>IF(ISBLANK(Actuals!Y32),-26.33*Escalation!$B$21,Actuals!Y32)</f>
        <v/>
      </c>
      <c r="Y124" s="392">
        <f>IF(ISBLANK(Actuals!Z32),-26.33*Escalation!$B$22,Actuals!Z32)</f>
        <v/>
      </c>
      <c r="Z124" s="392">
        <f>IF(ISBLANK(Actuals!AA32),-26.33*Escalation!$B$23,Actuals!AA32)</f>
        <v/>
      </c>
      <c r="AA124" s="392">
        <f>IF(ISBLANK(Actuals!AB32),-26.33*Escalation!$B$24,Actuals!AB32)</f>
        <v/>
      </c>
      <c r="AB124" s="392">
        <f>IF(ISBLANK(Actuals!AC32),-26.33*Escalation!$B$25,Actuals!AC32)</f>
        <v/>
      </c>
      <c r="AC124" s="392">
        <f>IF(ISBLANK(Actuals!AD32),-26.33*Escalation!$B$26,Actuals!AD32)</f>
        <v/>
      </c>
      <c r="AD124" s="392">
        <f>IF(ISBLANK(Actuals!AE32),-26.33*Escalation!$B$27,Actuals!AE32)</f>
        <v/>
      </c>
      <c r="AE124" s="392">
        <f>IF(ISBLANK(Actuals!AF32),-26.33*Escalation!$B$28,Actuals!AF32)</f>
        <v/>
      </c>
      <c r="AF124" s="392">
        <f>IF(ISBLANK(Actuals!AG32),-26.33*Escalation!$B$29,Actuals!AG32)</f>
        <v/>
      </c>
      <c r="AG124" s="392">
        <f>IF(ISBLANK(Actuals!AH32),-26.33*Escalation!$B$30,Actuals!AH32)</f>
        <v/>
      </c>
      <c r="AH124" s="392">
        <f>IF(ISBLANK(Actuals!AI32),-26.33*Escalation!$B$31,Actuals!AI32)</f>
        <v/>
      </c>
      <c r="AI124" s="392">
        <f>IF(ISBLANK(Actuals!AJ32),-26.33*Escalation!$B$32,Actuals!AJ32)</f>
        <v/>
      </c>
      <c r="AJ124" s="392">
        <f>IF(ISBLANK(Actuals!AK32),-26.33*Escalation!$B$33,Actuals!AK32)</f>
        <v/>
      </c>
      <c r="AK124" s="392">
        <f>IF(ISBLANK(Actuals!AL32),-26.33*Escalation!$B$34,Actuals!AL32)</f>
        <v/>
      </c>
      <c r="AL124" s="392">
        <f>IF(ISBLANK(Actuals!AM32),-26.33*Escalation!$B$35,Actuals!AM32)</f>
        <v/>
      </c>
      <c r="AM124" s="392">
        <f>IF(ISBLANK(Actuals!AN32),-26.33*Escalation!$B$36,Actuals!AN32)</f>
        <v/>
      </c>
      <c r="AN124" s="392">
        <f>IF(ISBLANK(Actuals!AO32),-26.33*Escalation!$B$37,Actuals!AO32)</f>
        <v/>
      </c>
      <c r="AO124" s="392">
        <f>IF(ISBLANK(Actuals!AP32),-26.33*Escalation!$B$38,Actuals!AP32)</f>
        <v/>
      </c>
      <c r="AP124" s="392">
        <f>IF(ISBLANK(Actuals!AQ32),-26.33*Escalation!$B$39,Actuals!AQ32)</f>
        <v/>
      </c>
      <c r="AQ124" s="392">
        <f>IF(ISBLANK(Actuals!AR32),-26.33*Escalation!$B$40,Actuals!AR32)</f>
        <v/>
      </c>
      <c r="AR124" s="392">
        <f>IF(ISBLANK(Actuals!AS32),-26.33*Escalation!$B$41,Actuals!AS32)</f>
        <v/>
      </c>
      <c r="AS124" s="392">
        <f>IF(ISBLANK(Actuals!AT32),-26.33*Escalation!$B$42,Actuals!AT32)</f>
        <v/>
      </c>
      <c r="AT124" s="392">
        <f>IF(ISBLANK(Actuals!AU32),-26.33*Escalation!$B$43,Actuals!AU32)</f>
        <v/>
      </c>
      <c r="AU124" s="392">
        <f>IF(ISBLANK(Actuals!AV32),-26.33*Escalation!$B$44,Actuals!AV32)</f>
        <v/>
      </c>
      <c r="AV124" s="392">
        <f>IF(ISBLANK(Actuals!AW32),-26.33*Escalation!$B$45,Actuals!AW32)</f>
        <v/>
      </c>
      <c r="AW124" s="392">
        <f>IF(ISBLANK(Actuals!AX32),-26.33*Escalation!$B$46,Actuals!AX32)</f>
        <v/>
      </c>
      <c r="AX124" s="392">
        <f>IF(ISBLANK(Actuals!AY32),-26.33*Escalation!$B$47,Actuals!AY32)</f>
        <v/>
      </c>
      <c r="AY124" s="392">
        <f>IF(ISBLANK(Actuals!AZ32),-26.33*Escalation!$B$48,Actuals!AZ32)</f>
        <v/>
      </c>
      <c r="AZ124" s="392">
        <f>IF(ISBLANK(Actuals!BA32),-26.33*Escalation!$B$49,Actuals!BA32)</f>
        <v/>
      </c>
      <c r="BA124" s="392">
        <f>IF(ISBLANK(Actuals!BB32),-26.33*Escalation!$B$50,Actuals!BB32)</f>
        <v/>
      </c>
      <c r="BB124" s="392">
        <f>IF(ISBLANK(Actuals!BC32),-26.33*Escalation!$B$51,Actuals!BC32)</f>
        <v/>
      </c>
      <c r="BC124" s="392">
        <f>IF(ISBLANK(Actuals!BD32),-26.33*Escalation!$B$52,Actuals!BD32)</f>
        <v/>
      </c>
      <c r="BD124" s="392">
        <f>IF(ISBLANK(Actuals!BE32),-26.33*Escalation!$B$53,Actuals!BE32)</f>
        <v/>
      </c>
      <c r="BE124" s="392">
        <f>IF(ISBLANK(Actuals!BF32),-26.33*Escalation!$B$54,Actuals!BF32)</f>
        <v/>
      </c>
      <c r="BF124" s="392">
        <f>IF(ISBLANK(Actuals!BG32),-26.33*Escalation!$B$55,Actuals!BG32)</f>
        <v/>
      </c>
      <c r="BG124" s="392">
        <f>IF(ISBLANK(Actuals!BH32),-26.33*Escalation!$B$56,Actuals!BH32)</f>
        <v/>
      </c>
      <c r="BH124" s="392">
        <f>IF(ISBLANK(Actuals!BI32),-26.33*Escalation!$B$57,Actuals!BI32)</f>
        <v/>
      </c>
      <c r="BI124" s="392">
        <f>IF(ISBLANK(Actuals!BJ32),-26.33*Escalation!$B$58,Actuals!BJ32)</f>
        <v/>
      </c>
      <c r="BJ124" s="392">
        <f>IF(ISBLANK(Actuals!BK32),-26.33*Escalation!$B$59,Actuals!BK32)</f>
        <v/>
      </c>
      <c r="BK124" s="392">
        <f>IF(ISBLANK(Actuals!BL32),-26.33*Escalation!$B$60,Actuals!BL32)</f>
        <v/>
      </c>
      <c r="BL124" s="392">
        <f>IF(ISBLANK(Actuals!BM32),-26.33*Escalation!$B$61,Actuals!BM32)</f>
        <v/>
      </c>
      <c r="BM124" s="392">
        <f>IF(ISBLANK(Actuals!BN32),-26.33*Escalation!$B$62,Actuals!BN32)</f>
        <v/>
      </c>
      <c r="BN124" s="392">
        <f>IF(ISBLANK(Actuals!BO32),-26.33*Escalation!$B$63,Actuals!BO32)</f>
        <v/>
      </c>
      <c r="BO124" s="392">
        <f>IF(ISBLANK(Actuals!BP32),-26.33*Escalation!$B$64,Actuals!BP32)</f>
        <v/>
      </c>
      <c r="BP124" s="392">
        <f>IF(ISBLANK(Actuals!BQ32),-26.33*Escalation!$B$65,Actuals!BQ32)</f>
        <v/>
      </c>
      <c r="BQ124" s="392">
        <f>IF(ISBLANK(Actuals!BR32),-26.33*Escalation!$B$66,Actuals!BR32)</f>
        <v/>
      </c>
      <c r="BR124" s="392">
        <f>IF(ISBLANK(Actuals!BS32),-26.33*Escalation!$B$67,Actuals!BS32)</f>
        <v/>
      </c>
      <c r="BS124" s="392">
        <f>IF(ISBLANK(Actuals!BT32),-26.33*Escalation!$B$68,Actuals!BT32)</f>
        <v/>
      </c>
      <c r="BT124" s="392">
        <f>IF(ISBLANK(Actuals!BU32),-26.33*Escalation!$B$69,Actuals!BU32)</f>
        <v/>
      </c>
      <c r="BU124" s="392">
        <f>IF(ISBLANK(Actuals!BV32),-26.33*Escalation!$B$70,Actuals!BV32)</f>
        <v/>
      </c>
      <c r="BV124" s="392">
        <f>IF(ISBLANK(Actuals!BW32),-26.33*Escalation!$B$71,Actuals!BW32)</f>
        <v/>
      </c>
      <c r="BW124" s="392">
        <f>IF(ISBLANK(Actuals!BX32),-26.33*Escalation!$B$72,Actuals!BX32)</f>
        <v/>
      </c>
      <c r="BX124" s="392">
        <f>IF(ISBLANK(Actuals!BY32),-26.33*Escalation!$B$73,Actuals!BY32)</f>
        <v/>
      </c>
      <c r="BY124" s="392">
        <f>IF(ISBLANK(Actuals!BZ32),-26.33*Escalation!$B$74,Actuals!BZ32)</f>
        <v/>
      </c>
      <c r="BZ124" s="392">
        <f>IF(ISBLANK(Actuals!CA32),-26.33*Escalation!$B$75,Actuals!CA32)</f>
        <v/>
      </c>
      <c r="CA124" s="392">
        <f>IF(ISBLANK(Actuals!CB32),-26.33*Escalation!$B$76,Actuals!CB32)</f>
        <v/>
      </c>
      <c r="CB124" s="392">
        <f>IF(ISBLANK(Actuals!CC32),-26.33*Escalation!$B$77,Actuals!CC32)</f>
        <v/>
      </c>
      <c r="CC124" s="392">
        <f>IF(ISBLANK(Actuals!CD32),-26.33*Escalation!$B$78,Actuals!CD32)</f>
        <v/>
      </c>
      <c r="CD124" s="392">
        <f>IF(ISBLANK(Actuals!CE32),-26.33*Escalation!$B$79,Actuals!CE32)</f>
        <v/>
      </c>
      <c r="CE124" s="392">
        <f>IF(ISBLANK(Actuals!CF32),-26.33*Escalation!$B$80,Actuals!CF32)</f>
        <v/>
      </c>
      <c r="CF124" s="392">
        <f>IF(ISBLANK(Actuals!CG32),-26.33*Escalation!$B$81,Actuals!CG32)</f>
        <v/>
      </c>
      <c r="CG124" s="392">
        <f>IF(ISBLANK(Actuals!CH32),-26.33*Escalation!$B$82,Actuals!CH32)</f>
        <v/>
      </c>
      <c r="CH124" s="392">
        <f>IF(ISBLANK(Actuals!CI32),-26.33*Escalation!$B$83,Actuals!CI32)</f>
        <v/>
      </c>
      <c r="CI124" s="392">
        <f>IF(ISBLANK(Actuals!CJ32),-26.33*Escalation!$B$84,Actuals!CJ32)</f>
        <v/>
      </c>
      <c r="CJ124" s="392">
        <f>IF(ISBLANK(Actuals!CK32),-26.33*Escalation!$B$85,Actuals!CK32)</f>
        <v/>
      </c>
      <c r="CK124" s="392">
        <f>IF(ISBLANK(Actuals!CL32),-26.33*Escalation!$B$86,Actuals!CL32)</f>
        <v/>
      </c>
      <c r="CL124" s="392">
        <f>IF(ISBLANK(Actuals!CM32),-26.33*Escalation!$B$87,Actuals!CM32)</f>
        <v/>
      </c>
      <c r="CM124" s="392">
        <f>IF(ISBLANK(Actuals!CN32),-26.33*Escalation!$B$88,Actuals!CN32)</f>
        <v/>
      </c>
      <c r="CN124" s="392">
        <f>IF(ISBLANK(Actuals!CO32),-26.33*Escalation!$B$89,Actuals!CO32)</f>
        <v/>
      </c>
      <c r="CO124" s="392">
        <f>IF(ISBLANK(Actuals!CP32),-26.33*Escalation!$B$90,Actuals!CP32)</f>
        <v/>
      </c>
      <c r="CP124" s="392">
        <f>IF(ISBLANK(Actuals!CQ32),-26.33*Escalation!$B$91,Actuals!CQ32)</f>
        <v/>
      </c>
      <c r="CQ124" s="392">
        <f>IF(ISBLANK(Actuals!CR32),-26.33*Escalation!$B$92,Actuals!CR32)</f>
        <v/>
      </c>
      <c r="CR124" s="392">
        <f>IF(ISBLANK(Actuals!CS32),-26.33*Escalation!$B$93,Actuals!CS32)</f>
        <v/>
      </c>
      <c r="CS124" s="392">
        <f>IF(ISBLANK(Actuals!CT32),-26.33*Escalation!$B$94,Actuals!CT32)</f>
        <v/>
      </c>
      <c r="CT124" s="392">
        <f>IF(ISBLANK(Actuals!CU32),-26.33*Escalation!$B$95,Actuals!CU32)</f>
        <v/>
      </c>
      <c r="CU124" s="392">
        <f>IF(ISBLANK(Actuals!CV32),-26.33*Escalation!$B$96,Actuals!CV32)</f>
        <v/>
      </c>
      <c r="CV124" s="392">
        <f>IF(ISBLANK(Actuals!CW32),-26.33*Escalation!$B$97,Actuals!CW32)</f>
        <v/>
      </c>
      <c r="CW124" s="392">
        <f>IF(ISBLANK(Actuals!CX32),-26.33*Escalation!$B$98,Actuals!CX32)</f>
        <v/>
      </c>
      <c r="CX124" s="392">
        <f>IF(ISBLANK(Actuals!CY32),-26.33*Escalation!$B$99,Actuals!CY32)</f>
        <v/>
      </c>
      <c r="CY124" s="392">
        <f>IF(ISBLANK(Actuals!CZ32),-26.33*Escalation!$B$100,Actuals!CZ32)</f>
        <v/>
      </c>
      <c r="CZ124" s="392">
        <f>IF(ISBLANK(Actuals!DA32),-26.33*Escalation!$B$101,Actuals!DA32)</f>
        <v/>
      </c>
      <c r="DA124" s="392">
        <f>IF(ISBLANK(Actuals!DB32),-26.33*Escalation!$B$102,Actuals!DB32)</f>
        <v/>
      </c>
      <c r="DB124" s="392">
        <f>IF(ISBLANK(Actuals!DC32),-26.33*Escalation!$B$103,Actuals!DC32)</f>
        <v/>
      </c>
      <c r="DC124" s="392">
        <f>IF(ISBLANK(Actuals!DD32),-26.33*Escalation!$B$104,Actuals!DD32)</f>
        <v/>
      </c>
      <c r="DD124" s="392">
        <f>IF(ISBLANK(Actuals!DE32),-26.33*Escalation!$B$105,Actuals!DE32)</f>
        <v/>
      </c>
      <c r="DE124" s="392">
        <f>IF(ISBLANK(Actuals!DF32),-26.33*Escalation!$B$106,Actuals!DF32)</f>
        <v/>
      </c>
    </row>
    <row r="125" ht="15" customFormat="1" customHeight="1" s="380">
      <c r="A125" s="397" t="inlineStr">
        <is>
          <t>5200-1053 IT Software and Subscriptions</t>
        </is>
      </c>
      <c r="B125" s="392">
        <f>IF(ISBLANK(Actuals!C33),0,Actuals!C33)</f>
        <v/>
      </c>
      <c r="C125" s="392">
        <f>IF(ISBLANK(Actuals!D33),0,Actuals!D33)</f>
        <v/>
      </c>
      <c r="D125" s="392">
        <f>IF(ISBLANK(Actuals!E33),0,Actuals!E33)</f>
        <v/>
      </c>
      <c r="E125" s="392">
        <f>IF(ISBLANK(Actuals!F33),-5300.8*Escalation!$B$2,Actuals!F33)</f>
        <v/>
      </c>
      <c r="F125" s="392">
        <f>IF(ISBLANK(Actuals!G33),-5300.8*Escalation!$B$3,Actuals!G33)</f>
        <v/>
      </c>
      <c r="G125" s="392">
        <f>IF(ISBLANK(Actuals!H33),-5300.8*Escalation!$B$4,Actuals!H33)</f>
        <v/>
      </c>
      <c r="H125" s="392">
        <f>IF(ISBLANK(Actuals!I33),-5300.8*Escalation!$B$5,Actuals!I33)</f>
        <v/>
      </c>
      <c r="I125" s="392">
        <f>IF(ISBLANK(Actuals!J33),-5300.8*Escalation!$B$6,Actuals!J33)</f>
        <v/>
      </c>
      <c r="J125" s="392">
        <f>IF(ISBLANK(Actuals!K33),-5300.8*Escalation!$B$7,Actuals!K33)</f>
        <v/>
      </c>
      <c r="K125" s="392">
        <f>IF(ISBLANK(Actuals!L33),-5300.8*Escalation!$B$8,Actuals!L33)</f>
        <v/>
      </c>
      <c r="L125" s="392">
        <f>IF(ISBLANK(Actuals!M33),-5300.8*Escalation!$B$9,Actuals!M33)</f>
        <v/>
      </c>
      <c r="M125" s="392">
        <f>IF(ISBLANK(Actuals!N33),-5300.8*Escalation!$B$10,Actuals!N33)</f>
        <v/>
      </c>
      <c r="N125" s="392">
        <f>IF(ISBLANK(Actuals!O33),-5300.8*Escalation!$B$11,Actuals!O33)</f>
        <v/>
      </c>
      <c r="O125" s="392">
        <f>IF(ISBLANK(Actuals!P33),-5300.8*Escalation!$B$12,Actuals!P33)</f>
        <v/>
      </c>
      <c r="P125" s="392">
        <f>IF(ISBLANK(Actuals!Q33),-5300.8*Escalation!$B$13,Actuals!Q33)</f>
        <v/>
      </c>
      <c r="Q125" s="392">
        <f>IF(ISBLANK(Actuals!R33),-5300.8*Escalation!$B$14,Actuals!R33)</f>
        <v/>
      </c>
      <c r="R125" s="392">
        <f>IF(ISBLANK(Actuals!S33),-5300.8*Escalation!$B$15,Actuals!S33)</f>
        <v/>
      </c>
      <c r="S125" s="392">
        <f>IF(ISBLANK(Actuals!T33),-5300.8*Escalation!$B$16,Actuals!T33)</f>
        <v/>
      </c>
      <c r="T125" s="392">
        <f>IF(ISBLANK(Actuals!U33),-5300.8*Escalation!$B$17,Actuals!U33)</f>
        <v/>
      </c>
      <c r="U125" s="392">
        <f>IF(ISBLANK(Actuals!V33),-5300.8*Escalation!$B$18,Actuals!V33)</f>
        <v/>
      </c>
      <c r="V125" s="392">
        <f>IF(ISBLANK(Actuals!W33),-5300.8*Escalation!$B$19,Actuals!W33)</f>
        <v/>
      </c>
      <c r="W125" s="392">
        <f>IF(ISBLANK(Actuals!X33),-5300.8*Escalation!$B$20,Actuals!X33)</f>
        <v/>
      </c>
      <c r="X125" s="392">
        <f>IF(ISBLANK(Actuals!Y33),-5300.8*Escalation!$B$21,Actuals!Y33)</f>
        <v/>
      </c>
      <c r="Y125" s="392">
        <f>IF(ISBLANK(Actuals!Z33),-5300.8*Escalation!$B$22,Actuals!Z33)</f>
        <v/>
      </c>
      <c r="Z125" s="392">
        <f>IF(ISBLANK(Actuals!AA33),-5300.8*Escalation!$B$23,Actuals!AA33)</f>
        <v/>
      </c>
      <c r="AA125" s="392">
        <f>IF(ISBLANK(Actuals!AB33),-5300.8*Escalation!$B$24,Actuals!AB33)</f>
        <v/>
      </c>
      <c r="AB125" s="392">
        <f>IF(ISBLANK(Actuals!AC33),-5300.8*Escalation!$B$25,Actuals!AC33)</f>
        <v/>
      </c>
      <c r="AC125" s="392">
        <f>IF(ISBLANK(Actuals!AD33),-5300.8*Escalation!$B$26,Actuals!AD33)</f>
        <v/>
      </c>
      <c r="AD125" s="392">
        <f>IF(ISBLANK(Actuals!AE33),-5300.8*Escalation!$B$27,Actuals!AE33)</f>
        <v/>
      </c>
      <c r="AE125" s="392">
        <f>IF(ISBLANK(Actuals!AF33),-5300.8*Escalation!$B$28,Actuals!AF33)</f>
        <v/>
      </c>
      <c r="AF125" s="392">
        <f>IF(ISBLANK(Actuals!AG33),-5300.8*Escalation!$B$29,Actuals!AG33)</f>
        <v/>
      </c>
      <c r="AG125" s="392">
        <f>IF(ISBLANK(Actuals!AH33),-5300.8*Escalation!$B$30,Actuals!AH33)</f>
        <v/>
      </c>
      <c r="AH125" s="392">
        <f>IF(ISBLANK(Actuals!AI33),-5300.8*Escalation!$B$31,Actuals!AI33)</f>
        <v/>
      </c>
      <c r="AI125" s="392">
        <f>IF(ISBLANK(Actuals!AJ33),-5300.8*Escalation!$B$32,Actuals!AJ33)</f>
        <v/>
      </c>
      <c r="AJ125" s="392">
        <f>IF(ISBLANK(Actuals!AK33),-5300.8*Escalation!$B$33,Actuals!AK33)</f>
        <v/>
      </c>
      <c r="AK125" s="392">
        <f>IF(ISBLANK(Actuals!AL33),-5300.8*Escalation!$B$34,Actuals!AL33)</f>
        <v/>
      </c>
      <c r="AL125" s="392">
        <f>IF(ISBLANK(Actuals!AM33),-5300.8*Escalation!$B$35,Actuals!AM33)</f>
        <v/>
      </c>
      <c r="AM125" s="392">
        <f>IF(ISBLANK(Actuals!AN33),-5300.8*Escalation!$B$36,Actuals!AN33)</f>
        <v/>
      </c>
      <c r="AN125" s="392">
        <f>IF(ISBLANK(Actuals!AO33),-5300.8*Escalation!$B$37,Actuals!AO33)</f>
        <v/>
      </c>
      <c r="AO125" s="392">
        <f>IF(ISBLANK(Actuals!AP33),-5300.8*Escalation!$B$38,Actuals!AP33)</f>
        <v/>
      </c>
      <c r="AP125" s="392">
        <f>IF(ISBLANK(Actuals!AQ33),-5300.8*Escalation!$B$39,Actuals!AQ33)</f>
        <v/>
      </c>
      <c r="AQ125" s="392">
        <f>IF(ISBLANK(Actuals!AR33),-5300.8*Escalation!$B$40,Actuals!AR33)</f>
        <v/>
      </c>
      <c r="AR125" s="392">
        <f>IF(ISBLANK(Actuals!AS33),-5300.8*Escalation!$B$41,Actuals!AS33)</f>
        <v/>
      </c>
      <c r="AS125" s="392">
        <f>IF(ISBLANK(Actuals!AT33),-5300.8*Escalation!$B$42,Actuals!AT33)</f>
        <v/>
      </c>
      <c r="AT125" s="392">
        <f>IF(ISBLANK(Actuals!AU33),-5300.8*Escalation!$B$43,Actuals!AU33)</f>
        <v/>
      </c>
      <c r="AU125" s="392">
        <f>IF(ISBLANK(Actuals!AV33),-5300.8*Escalation!$B$44,Actuals!AV33)</f>
        <v/>
      </c>
      <c r="AV125" s="392">
        <f>IF(ISBLANK(Actuals!AW33),-5300.8*Escalation!$B$45,Actuals!AW33)</f>
        <v/>
      </c>
      <c r="AW125" s="392">
        <f>IF(ISBLANK(Actuals!AX33),-5300.8*Escalation!$B$46,Actuals!AX33)</f>
        <v/>
      </c>
      <c r="AX125" s="392">
        <f>IF(ISBLANK(Actuals!AY33),-5300.8*Escalation!$B$47,Actuals!AY33)</f>
        <v/>
      </c>
      <c r="AY125" s="392">
        <f>IF(ISBLANK(Actuals!AZ33),-5300.8*Escalation!$B$48,Actuals!AZ33)</f>
        <v/>
      </c>
      <c r="AZ125" s="392">
        <f>IF(ISBLANK(Actuals!BA33),-5300.8*Escalation!$B$49,Actuals!BA33)</f>
        <v/>
      </c>
      <c r="BA125" s="392">
        <f>IF(ISBLANK(Actuals!BB33),-5300.8*Escalation!$B$50,Actuals!BB33)</f>
        <v/>
      </c>
      <c r="BB125" s="392">
        <f>IF(ISBLANK(Actuals!BC33),-5300.8*Escalation!$B$51,Actuals!BC33)</f>
        <v/>
      </c>
      <c r="BC125" s="392">
        <f>IF(ISBLANK(Actuals!BD33),-5300.8*Escalation!$B$52,Actuals!BD33)</f>
        <v/>
      </c>
      <c r="BD125" s="392">
        <f>IF(ISBLANK(Actuals!BE33),-5300.8*Escalation!$B$53,Actuals!BE33)</f>
        <v/>
      </c>
      <c r="BE125" s="392">
        <f>IF(ISBLANK(Actuals!BF33),-5300.8*Escalation!$B$54,Actuals!BF33)</f>
        <v/>
      </c>
      <c r="BF125" s="392">
        <f>IF(ISBLANK(Actuals!BG33),-5300.8*Escalation!$B$55,Actuals!BG33)</f>
        <v/>
      </c>
      <c r="BG125" s="392">
        <f>IF(ISBLANK(Actuals!BH33),-5300.8*Escalation!$B$56,Actuals!BH33)</f>
        <v/>
      </c>
      <c r="BH125" s="392">
        <f>IF(ISBLANK(Actuals!BI33),-5300.8*Escalation!$B$57,Actuals!BI33)</f>
        <v/>
      </c>
      <c r="BI125" s="392">
        <f>IF(ISBLANK(Actuals!BJ33),-5300.8*Escalation!$B$58,Actuals!BJ33)</f>
        <v/>
      </c>
      <c r="BJ125" s="392">
        <f>IF(ISBLANK(Actuals!BK33),-5300.8*Escalation!$B$59,Actuals!BK33)</f>
        <v/>
      </c>
      <c r="BK125" s="392">
        <f>IF(ISBLANK(Actuals!BL33),-5300.8*Escalation!$B$60,Actuals!BL33)</f>
        <v/>
      </c>
      <c r="BL125" s="392">
        <f>IF(ISBLANK(Actuals!BM33),-5300.8*Escalation!$B$61,Actuals!BM33)</f>
        <v/>
      </c>
      <c r="BM125" s="392">
        <f>IF(ISBLANK(Actuals!BN33),-5300.8*Escalation!$B$62,Actuals!BN33)</f>
        <v/>
      </c>
      <c r="BN125" s="392">
        <f>IF(ISBLANK(Actuals!BO33),-5300.8*Escalation!$B$63,Actuals!BO33)</f>
        <v/>
      </c>
      <c r="BO125" s="392">
        <f>IF(ISBLANK(Actuals!BP33),-5300.8*Escalation!$B$64,Actuals!BP33)</f>
        <v/>
      </c>
      <c r="BP125" s="392">
        <f>IF(ISBLANK(Actuals!BQ33),-5300.8*Escalation!$B$65,Actuals!BQ33)</f>
        <v/>
      </c>
      <c r="BQ125" s="392">
        <f>IF(ISBLANK(Actuals!BR33),-5300.8*Escalation!$B$66,Actuals!BR33)</f>
        <v/>
      </c>
      <c r="BR125" s="392">
        <f>IF(ISBLANK(Actuals!BS33),-5300.8*Escalation!$B$67,Actuals!BS33)</f>
        <v/>
      </c>
      <c r="BS125" s="392">
        <f>IF(ISBLANK(Actuals!BT33),-5300.8*Escalation!$B$68,Actuals!BT33)</f>
        <v/>
      </c>
      <c r="BT125" s="392">
        <f>IF(ISBLANK(Actuals!BU33),-5300.8*Escalation!$B$69,Actuals!BU33)</f>
        <v/>
      </c>
      <c r="BU125" s="392">
        <f>IF(ISBLANK(Actuals!BV33),-5300.8*Escalation!$B$70,Actuals!BV33)</f>
        <v/>
      </c>
      <c r="BV125" s="392">
        <f>IF(ISBLANK(Actuals!BW33),-5300.8*Escalation!$B$71,Actuals!BW33)</f>
        <v/>
      </c>
      <c r="BW125" s="392">
        <f>IF(ISBLANK(Actuals!BX33),-5300.8*Escalation!$B$72,Actuals!BX33)</f>
        <v/>
      </c>
      <c r="BX125" s="392">
        <f>IF(ISBLANK(Actuals!BY33),-5300.8*Escalation!$B$73,Actuals!BY33)</f>
        <v/>
      </c>
      <c r="BY125" s="392">
        <f>IF(ISBLANK(Actuals!BZ33),-5300.8*Escalation!$B$74,Actuals!BZ33)</f>
        <v/>
      </c>
      <c r="BZ125" s="392">
        <f>IF(ISBLANK(Actuals!CA33),-5300.8*Escalation!$B$75,Actuals!CA33)</f>
        <v/>
      </c>
      <c r="CA125" s="392">
        <f>IF(ISBLANK(Actuals!CB33),-5300.8*Escalation!$B$76,Actuals!CB33)</f>
        <v/>
      </c>
      <c r="CB125" s="392">
        <f>IF(ISBLANK(Actuals!CC33),-5300.8*Escalation!$B$77,Actuals!CC33)</f>
        <v/>
      </c>
      <c r="CC125" s="392">
        <f>IF(ISBLANK(Actuals!CD33),-5300.8*Escalation!$B$78,Actuals!CD33)</f>
        <v/>
      </c>
      <c r="CD125" s="392">
        <f>IF(ISBLANK(Actuals!CE33),-5300.8*Escalation!$B$79,Actuals!CE33)</f>
        <v/>
      </c>
      <c r="CE125" s="392">
        <f>IF(ISBLANK(Actuals!CF33),-5300.8*Escalation!$B$80,Actuals!CF33)</f>
        <v/>
      </c>
      <c r="CF125" s="392">
        <f>IF(ISBLANK(Actuals!CG33),-5300.8*Escalation!$B$81,Actuals!CG33)</f>
        <v/>
      </c>
      <c r="CG125" s="392">
        <f>IF(ISBLANK(Actuals!CH33),-5300.8*Escalation!$B$82,Actuals!CH33)</f>
        <v/>
      </c>
      <c r="CH125" s="392">
        <f>IF(ISBLANK(Actuals!CI33),-5300.8*Escalation!$B$83,Actuals!CI33)</f>
        <v/>
      </c>
      <c r="CI125" s="392">
        <f>IF(ISBLANK(Actuals!CJ33),-5300.8*Escalation!$B$84,Actuals!CJ33)</f>
        <v/>
      </c>
      <c r="CJ125" s="392">
        <f>IF(ISBLANK(Actuals!CK33),-5300.8*Escalation!$B$85,Actuals!CK33)</f>
        <v/>
      </c>
      <c r="CK125" s="392">
        <f>IF(ISBLANK(Actuals!CL33),-5300.8*Escalation!$B$86,Actuals!CL33)</f>
        <v/>
      </c>
      <c r="CL125" s="392">
        <f>IF(ISBLANK(Actuals!CM33),-5300.8*Escalation!$B$87,Actuals!CM33)</f>
        <v/>
      </c>
      <c r="CM125" s="392">
        <f>IF(ISBLANK(Actuals!CN33),-5300.8*Escalation!$B$88,Actuals!CN33)</f>
        <v/>
      </c>
      <c r="CN125" s="392">
        <f>IF(ISBLANK(Actuals!CO33),-5300.8*Escalation!$B$89,Actuals!CO33)</f>
        <v/>
      </c>
      <c r="CO125" s="392">
        <f>IF(ISBLANK(Actuals!CP33),-5300.8*Escalation!$B$90,Actuals!CP33)</f>
        <v/>
      </c>
      <c r="CP125" s="392">
        <f>IF(ISBLANK(Actuals!CQ33),-5300.8*Escalation!$B$91,Actuals!CQ33)</f>
        <v/>
      </c>
      <c r="CQ125" s="392">
        <f>IF(ISBLANK(Actuals!CR33),-5300.8*Escalation!$B$92,Actuals!CR33)</f>
        <v/>
      </c>
      <c r="CR125" s="392">
        <f>IF(ISBLANK(Actuals!CS33),-5300.8*Escalation!$B$93,Actuals!CS33)</f>
        <v/>
      </c>
      <c r="CS125" s="392">
        <f>IF(ISBLANK(Actuals!CT33),-5300.8*Escalation!$B$94,Actuals!CT33)</f>
        <v/>
      </c>
      <c r="CT125" s="392">
        <f>IF(ISBLANK(Actuals!CU33),-5300.8*Escalation!$B$95,Actuals!CU33)</f>
        <v/>
      </c>
      <c r="CU125" s="392">
        <f>IF(ISBLANK(Actuals!CV33),-5300.8*Escalation!$B$96,Actuals!CV33)</f>
        <v/>
      </c>
      <c r="CV125" s="392">
        <f>IF(ISBLANK(Actuals!CW33),-5300.8*Escalation!$B$97,Actuals!CW33)</f>
        <v/>
      </c>
      <c r="CW125" s="392">
        <f>IF(ISBLANK(Actuals!CX33),-5300.8*Escalation!$B$98,Actuals!CX33)</f>
        <v/>
      </c>
      <c r="CX125" s="392">
        <f>IF(ISBLANK(Actuals!CY33),-5300.8*Escalation!$B$99,Actuals!CY33)</f>
        <v/>
      </c>
      <c r="CY125" s="392">
        <f>IF(ISBLANK(Actuals!CZ33),-5300.8*Escalation!$B$100,Actuals!CZ33)</f>
        <v/>
      </c>
      <c r="CZ125" s="392">
        <f>IF(ISBLANK(Actuals!DA33),-5300.8*Escalation!$B$101,Actuals!DA33)</f>
        <v/>
      </c>
      <c r="DA125" s="392">
        <f>IF(ISBLANK(Actuals!DB33),-5300.8*Escalation!$B$102,Actuals!DB33)</f>
        <v/>
      </c>
      <c r="DB125" s="392">
        <f>IF(ISBLANK(Actuals!DC33),-5300.8*Escalation!$B$103,Actuals!DC33)</f>
        <v/>
      </c>
      <c r="DC125" s="392">
        <f>IF(ISBLANK(Actuals!DD33),-5300.8*Escalation!$B$104,Actuals!DD33)</f>
        <v/>
      </c>
      <c r="DD125" s="392">
        <f>IF(ISBLANK(Actuals!DE33),-5300.8*Escalation!$B$105,Actuals!DE33)</f>
        <v/>
      </c>
      <c r="DE125" s="392">
        <f>IF(ISBLANK(Actuals!DF33),-5300.8*Escalation!$B$106,Actuals!DF33)</f>
        <v/>
      </c>
    </row>
    <row r="126" ht="15" customFormat="1" customHeight="1" s="380">
      <c r="A126" s="397" t="inlineStr">
        <is>
          <t>5200-1054 Telephone Expenses</t>
        </is>
      </c>
      <c r="B126" s="392">
        <f>IF(ISBLANK(Actuals!C34),0,Actuals!C34)</f>
        <v/>
      </c>
      <c r="C126" s="392">
        <f>IF(ISBLANK(Actuals!D34),0,Actuals!D34)</f>
        <v/>
      </c>
      <c r="D126" s="392">
        <f>IF(ISBLANK(Actuals!E34),0,Actuals!E34)</f>
        <v/>
      </c>
      <c r="E126" s="392">
        <f>IF(ISBLANK(Actuals!F34),-736.03*Escalation!$B$2,Actuals!F34)</f>
        <v/>
      </c>
      <c r="F126" s="392">
        <f>IF(ISBLANK(Actuals!G34),-736.03*Escalation!$B$3,Actuals!G34)</f>
        <v/>
      </c>
      <c r="G126" s="392">
        <f>IF(ISBLANK(Actuals!H34),-736.03*Escalation!$B$4,Actuals!H34)</f>
        <v/>
      </c>
      <c r="H126" s="392">
        <f>IF(ISBLANK(Actuals!I34),-736.03*Escalation!$B$5,Actuals!I34)</f>
        <v/>
      </c>
      <c r="I126" s="392">
        <f>IF(ISBLANK(Actuals!J34),-736.03*Escalation!$B$6,Actuals!J34)</f>
        <v/>
      </c>
      <c r="J126" s="392">
        <f>IF(ISBLANK(Actuals!K34),-736.03*Escalation!$B$7,Actuals!K34)</f>
        <v/>
      </c>
      <c r="K126" s="392">
        <f>IF(ISBLANK(Actuals!L34),-736.03*Escalation!$B$8,Actuals!L34)</f>
        <v/>
      </c>
      <c r="L126" s="392">
        <f>IF(ISBLANK(Actuals!M34),-736.03*Escalation!$B$9,Actuals!M34)</f>
        <v/>
      </c>
      <c r="M126" s="392">
        <f>IF(ISBLANK(Actuals!N34),-736.03*Escalation!$B$10,Actuals!N34)</f>
        <v/>
      </c>
      <c r="N126" s="392">
        <f>IF(ISBLANK(Actuals!O34),-736.03*Escalation!$B$11,Actuals!O34)</f>
        <v/>
      </c>
      <c r="O126" s="392">
        <f>IF(ISBLANK(Actuals!P34),-736.03*Escalation!$B$12,Actuals!P34)</f>
        <v/>
      </c>
      <c r="P126" s="392">
        <f>IF(ISBLANK(Actuals!Q34),-736.03*Escalation!$B$13,Actuals!Q34)</f>
        <v/>
      </c>
      <c r="Q126" s="392">
        <f>IF(ISBLANK(Actuals!R34),-736.03*Escalation!$B$14,Actuals!R34)</f>
        <v/>
      </c>
      <c r="R126" s="392">
        <f>IF(ISBLANK(Actuals!S34),-736.03*Escalation!$B$15,Actuals!S34)</f>
        <v/>
      </c>
      <c r="S126" s="392">
        <f>IF(ISBLANK(Actuals!T34),-736.03*Escalation!$B$16,Actuals!T34)</f>
        <v/>
      </c>
      <c r="T126" s="392">
        <f>IF(ISBLANK(Actuals!U34),-736.03*Escalation!$B$17,Actuals!U34)</f>
        <v/>
      </c>
      <c r="U126" s="392">
        <f>IF(ISBLANK(Actuals!V34),-736.03*Escalation!$B$18,Actuals!V34)</f>
        <v/>
      </c>
      <c r="V126" s="392">
        <f>IF(ISBLANK(Actuals!W34),-736.03*Escalation!$B$19,Actuals!W34)</f>
        <v/>
      </c>
      <c r="W126" s="392">
        <f>IF(ISBLANK(Actuals!X34),-736.03*Escalation!$B$20,Actuals!X34)</f>
        <v/>
      </c>
      <c r="X126" s="392">
        <f>IF(ISBLANK(Actuals!Y34),-736.03*Escalation!$B$21,Actuals!Y34)</f>
        <v/>
      </c>
      <c r="Y126" s="392">
        <f>IF(ISBLANK(Actuals!Z34),-736.03*Escalation!$B$22,Actuals!Z34)</f>
        <v/>
      </c>
      <c r="Z126" s="392">
        <f>IF(ISBLANK(Actuals!AA34),-736.03*Escalation!$B$23,Actuals!AA34)</f>
        <v/>
      </c>
      <c r="AA126" s="392">
        <f>IF(ISBLANK(Actuals!AB34),-736.03*Escalation!$B$24,Actuals!AB34)</f>
        <v/>
      </c>
      <c r="AB126" s="392">
        <f>IF(ISBLANK(Actuals!AC34),-736.03*Escalation!$B$25,Actuals!AC34)</f>
        <v/>
      </c>
      <c r="AC126" s="392">
        <f>IF(ISBLANK(Actuals!AD34),-736.03*Escalation!$B$26,Actuals!AD34)</f>
        <v/>
      </c>
      <c r="AD126" s="392">
        <f>IF(ISBLANK(Actuals!AE34),-736.03*Escalation!$B$27,Actuals!AE34)</f>
        <v/>
      </c>
      <c r="AE126" s="392">
        <f>IF(ISBLANK(Actuals!AF34),-736.03*Escalation!$B$28,Actuals!AF34)</f>
        <v/>
      </c>
      <c r="AF126" s="392">
        <f>IF(ISBLANK(Actuals!AG34),-736.03*Escalation!$B$29,Actuals!AG34)</f>
        <v/>
      </c>
      <c r="AG126" s="392">
        <f>IF(ISBLANK(Actuals!AH34),-736.03*Escalation!$B$30,Actuals!AH34)</f>
        <v/>
      </c>
      <c r="AH126" s="392">
        <f>IF(ISBLANK(Actuals!AI34),-736.03*Escalation!$B$31,Actuals!AI34)</f>
        <v/>
      </c>
      <c r="AI126" s="392">
        <f>IF(ISBLANK(Actuals!AJ34),-736.03*Escalation!$B$32,Actuals!AJ34)</f>
        <v/>
      </c>
      <c r="AJ126" s="392">
        <f>IF(ISBLANK(Actuals!AK34),-736.03*Escalation!$B$33,Actuals!AK34)</f>
        <v/>
      </c>
      <c r="AK126" s="392">
        <f>IF(ISBLANK(Actuals!AL34),-736.03*Escalation!$B$34,Actuals!AL34)</f>
        <v/>
      </c>
      <c r="AL126" s="392">
        <f>IF(ISBLANK(Actuals!AM34),-736.03*Escalation!$B$35,Actuals!AM34)</f>
        <v/>
      </c>
      <c r="AM126" s="392">
        <f>IF(ISBLANK(Actuals!AN34),-736.03*Escalation!$B$36,Actuals!AN34)</f>
        <v/>
      </c>
      <c r="AN126" s="392">
        <f>IF(ISBLANK(Actuals!AO34),-736.03*Escalation!$B$37,Actuals!AO34)</f>
        <v/>
      </c>
      <c r="AO126" s="392">
        <f>IF(ISBLANK(Actuals!AP34),-736.03*Escalation!$B$38,Actuals!AP34)</f>
        <v/>
      </c>
      <c r="AP126" s="392">
        <f>IF(ISBLANK(Actuals!AQ34),-736.03*Escalation!$B$39,Actuals!AQ34)</f>
        <v/>
      </c>
      <c r="AQ126" s="392">
        <f>IF(ISBLANK(Actuals!AR34),-736.03*Escalation!$B$40,Actuals!AR34)</f>
        <v/>
      </c>
      <c r="AR126" s="392">
        <f>IF(ISBLANK(Actuals!AS34),-736.03*Escalation!$B$41,Actuals!AS34)</f>
        <v/>
      </c>
      <c r="AS126" s="392">
        <f>IF(ISBLANK(Actuals!AT34),-736.03*Escalation!$B$42,Actuals!AT34)</f>
        <v/>
      </c>
      <c r="AT126" s="392">
        <f>IF(ISBLANK(Actuals!AU34),-736.03*Escalation!$B$43,Actuals!AU34)</f>
        <v/>
      </c>
      <c r="AU126" s="392">
        <f>IF(ISBLANK(Actuals!AV34),-736.03*Escalation!$B$44,Actuals!AV34)</f>
        <v/>
      </c>
      <c r="AV126" s="392">
        <f>IF(ISBLANK(Actuals!AW34),-736.03*Escalation!$B$45,Actuals!AW34)</f>
        <v/>
      </c>
      <c r="AW126" s="392">
        <f>IF(ISBLANK(Actuals!AX34),-736.03*Escalation!$B$46,Actuals!AX34)</f>
        <v/>
      </c>
      <c r="AX126" s="392">
        <f>IF(ISBLANK(Actuals!AY34),-736.03*Escalation!$B$47,Actuals!AY34)</f>
        <v/>
      </c>
      <c r="AY126" s="392">
        <f>IF(ISBLANK(Actuals!AZ34),-736.03*Escalation!$B$48,Actuals!AZ34)</f>
        <v/>
      </c>
      <c r="AZ126" s="392">
        <f>IF(ISBLANK(Actuals!BA34),-736.03*Escalation!$B$49,Actuals!BA34)</f>
        <v/>
      </c>
      <c r="BA126" s="392">
        <f>IF(ISBLANK(Actuals!BB34),-736.03*Escalation!$B$50,Actuals!BB34)</f>
        <v/>
      </c>
      <c r="BB126" s="392">
        <f>IF(ISBLANK(Actuals!BC34),-736.03*Escalation!$B$51,Actuals!BC34)</f>
        <v/>
      </c>
      <c r="BC126" s="392">
        <f>IF(ISBLANK(Actuals!BD34),-736.03*Escalation!$B$52,Actuals!BD34)</f>
        <v/>
      </c>
      <c r="BD126" s="392">
        <f>IF(ISBLANK(Actuals!BE34),-736.03*Escalation!$B$53,Actuals!BE34)</f>
        <v/>
      </c>
      <c r="BE126" s="392">
        <f>IF(ISBLANK(Actuals!BF34),-736.03*Escalation!$B$54,Actuals!BF34)</f>
        <v/>
      </c>
      <c r="BF126" s="392">
        <f>IF(ISBLANK(Actuals!BG34),-736.03*Escalation!$B$55,Actuals!BG34)</f>
        <v/>
      </c>
      <c r="BG126" s="392">
        <f>IF(ISBLANK(Actuals!BH34),-736.03*Escalation!$B$56,Actuals!BH34)</f>
        <v/>
      </c>
      <c r="BH126" s="392">
        <f>IF(ISBLANK(Actuals!BI34),-736.03*Escalation!$B$57,Actuals!BI34)</f>
        <v/>
      </c>
      <c r="BI126" s="392">
        <f>IF(ISBLANK(Actuals!BJ34),-736.03*Escalation!$B$58,Actuals!BJ34)</f>
        <v/>
      </c>
      <c r="BJ126" s="392">
        <f>IF(ISBLANK(Actuals!BK34),-736.03*Escalation!$B$59,Actuals!BK34)</f>
        <v/>
      </c>
      <c r="BK126" s="392">
        <f>IF(ISBLANK(Actuals!BL34),-736.03*Escalation!$B$60,Actuals!BL34)</f>
        <v/>
      </c>
      <c r="BL126" s="392">
        <f>IF(ISBLANK(Actuals!BM34),-736.03*Escalation!$B$61,Actuals!BM34)</f>
        <v/>
      </c>
      <c r="BM126" s="392">
        <f>IF(ISBLANK(Actuals!BN34),-736.03*Escalation!$B$62,Actuals!BN34)</f>
        <v/>
      </c>
      <c r="BN126" s="392">
        <f>IF(ISBLANK(Actuals!BO34),-736.03*Escalation!$B$63,Actuals!BO34)</f>
        <v/>
      </c>
      <c r="BO126" s="392">
        <f>IF(ISBLANK(Actuals!BP34),-736.03*Escalation!$B$64,Actuals!BP34)</f>
        <v/>
      </c>
      <c r="BP126" s="392">
        <f>IF(ISBLANK(Actuals!BQ34),-736.03*Escalation!$B$65,Actuals!BQ34)</f>
        <v/>
      </c>
      <c r="BQ126" s="392">
        <f>IF(ISBLANK(Actuals!BR34),-736.03*Escalation!$B$66,Actuals!BR34)</f>
        <v/>
      </c>
      <c r="BR126" s="392">
        <f>IF(ISBLANK(Actuals!BS34),-736.03*Escalation!$B$67,Actuals!BS34)</f>
        <v/>
      </c>
      <c r="BS126" s="392">
        <f>IF(ISBLANK(Actuals!BT34),-736.03*Escalation!$B$68,Actuals!BT34)</f>
        <v/>
      </c>
      <c r="BT126" s="392">
        <f>IF(ISBLANK(Actuals!BU34),-736.03*Escalation!$B$69,Actuals!BU34)</f>
        <v/>
      </c>
      <c r="BU126" s="392">
        <f>IF(ISBLANK(Actuals!BV34),-736.03*Escalation!$B$70,Actuals!BV34)</f>
        <v/>
      </c>
      <c r="BV126" s="392">
        <f>IF(ISBLANK(Actuals!BW34),-736.03*Escalation!$B$71,Actuals!BW34)</f>
        <v/>
      </c>
      <c r="BW126" s="392">
        <f>IF(ISBLANK(Actuals!BX34),-736.03*Escalation!$B$72,Actuals!BX34)</f>
        <v/>
      </c>
      <c r="BX126" s="392">
        <f>IF(ISBLANK(Actuals!BY34),-736.03*Escalation!$B$73,Actuals!BY34)</f>
        <v/>
      </c>
      <c r="BY126" s="392">
        <f>IF(ISBLANK(Actuals!BZ34),-736.03*Escalation!$B$74,Actuals!BZ34)</f>
        <v/>
      </c>
      <c r="BZ126" s="392">
        <f>IF(ISBLANK(Actuals!CA34),-736.03*Escalation!$B$75,Actuals!CA34)</f>
        <v/>
      </c>
      <c r="CA126" s="392">
        <f>IF(ISBLANK(Actuals!CB34),-736.03*Escalation!$B$76,Actuals!CB34)</f>
        <v/>
      </c>
      <c r="CB126" s="392">
        <f>IF(ISBLANK(Actuals!CC34),-736.03*Escalation!$B$77,Actuals!CC34)</f>
        <v/>
      </c>
      <c r="CC126" s="392">
        <f>IF(ISBLANK(Actuals!CD34),-736.03*Escalation!$B$78,Actuals!CD34)</f>
        <v/>
      </c>
      <c r="CD126" s="392">
        <f>IF(ISBLANK(Actuals!CE34),-736.03*Escalation!$B$79,Actuals!CE34)</f>
        <v/>
      </c>
      <c r="CE126" s="392">
        <f>IF(ISBLANK(Actuals!CF34),-736.03*Escalation!$B$80,Actuals!CF34)</f>
        <v/>
      </c>
      <c r="CF126" s="392">
        <f>IF(ISBLANK(Actuals!CG34),-736.03*Escalation!$B$81,Actuals!CG34)</f>
        <v/>
      </c>
      <c r="CG126" s="392">
        <f>IF(ISBLANK(Actuals!CH34),-736.03*Escalation!$B$82,Actuals!CH34)</f>
        <v/>
      </c>
      <c r="CH126" s="392">
        <f>IF(ISBLANK(Actuals!CI34),-736.03*Escalation!$B$83,Actuals!CI34)</f>
        <v/>
      </c>
      <c r="CI126" s="392">
        <f>IF(ISBLANK(Actuals!CJ34),-736.03*Escalation!$B$84,Actuals!CJ34)</f>
        <v/>
      </c>
      <c r="CJ126" s="392">
        <f>IF(ISBLANK(Actuals!CK34),-736.03*Escalation!$B$85,Actuals!CK34)</f>
        <v/>
      </c>
      <c r="CK126" s="392">
        <f>IF(ISBLANK(Actuals!CL34),-736.03*Escalation!$B$86,Actuals!CL34)</f>
        <v/>
      </c>
      <c r="CL126" s="392">
        <f>IF(ISBLANK(Actuals!CM34),-736.03*Escalation!$B$87,Actuals!CM34)</f>
        <v/>
      </c>
      <c r="CM126" s="392">
        <f>IF(ISBLANK(Actuals!CN34),-736.03*Escalation!$B$88,Actuals!CN34)</f>
        <v/>
      </c>
      <c r="CN126" s="392">
        <f>IF(ISBLANK(Actuals!CO34),-736.03*Escalation!$B$89,Actuals!CO34)</f>
        <v/>
      </c>
      <c r="CO126" s="392">
        <f>IF(ISBLANK(Actuals!CP34),-736.03*Escalation!$B$90,Actuals!CP34)</f>
        <v/>
      </c>
      <c r="CP126" s="392">
        <f>IF(ISBLANK(Actuals!CQ34),-736.03*Escalation!$B$91,Actuals!CQ34)</f>
        <v/>
      </c>
      <c r="CQ126" s="392">
        <f>IF(ISBLANK(Actuals!CR34),-736.03*Escalation!$B$92,Actuals!CR34)</f>
        <v/>
      </c>
      <c r="CR126" s="392">
        <f>IF(ISBLANK(Actuals!CS34),-736.03*Escalation!$B$93,Actuals!CS34)</f>
        <v/>
      </c>
      <c r="CS126" s="392">
        <f>IF(ISBLANK(Actuals!CT34),-736.03*Escalation!$B$94,Actuals!CT34)</f>
        <v/>
      </c>
      <c r="CT126" s="392">
        <f>IF(ISBLANK(Actuals!CU34),-736.03*Escalation!$B$95,Actuals!CU34)</f>
        <v/>
      </c>
      <c r="CU126" s="392">
        <f>IF(ISBLANK(Actuals!CV34),-736.03*Escalation!$B$96,Actuals!CV34)</f>
        <v/>
      </c>
      <c r="CV126" s="392">
        <f>IF(ISBLANK(Actuals!CW34),-736.03*Escalation!$B$97,Actuals!CW34)</f>
        <v/>
      </c>
      <c r="CW126" s="392">
        <f>IF(ISBLANK(Actuals!CX34),-736.03*Escalation!$B$98,Actuals!CX34)</f>
        <v/>
      </c>
      <c r="CX126" s="392">
        <f>IF(ISBLANK(Actuals!CY34),-736.03*Escalation!$B$99,Actuals!CY34)</f>
        <v/>
      </c>
      <c r="CY126" s="392">
        <f>IF(ISBLANK(Actuals!CZ34),-736.03*Escalation!$B$100,Actuals!CZ34)</f>
        <v/>
      </c>
      <c r="CZ126" s="392">
        <f>IF(ISBLANK(Actuals!DA34),-736.03*Escalation!$B$101,Actuals!DA34)</f>
        <v/>
      </c>
      <c r="DA126" s="392">
        <f>IF(ISBLANK(Actuals!DB34),-736.03*Escalation!$B$102,Actuals!DB34)</f>
        <v/>
      </c>
      <c r="DB126" s="392">
        <f>IF(ISBLANK(Actuals!DC34),-736.03*Escalation!$B$103,Actuals!DC34)</f>
        <v/>
      </c>
      <c r="DC126" s="392">
        <f>IF(ISBLANK(Actuals!DD34),-736.03*Escalation!$B$104,Actuals!DD34)</f>
        <v/>
      </c>
      <c r="DD126" s="392">
        <f>IF(ISBLANK(Actuals!DE34),-736.03*Escalation!$B$105,Actuals!DE34)</f>
        <v/>
      </c>
      <c r="DE126" s="392">
        <f>IF(ISBLANK(Actuals!DF34),-736.03*Escalation!$B$106,Actuals!DF34)</f>
        <v/>
      </c>
    </row>
    <row r="127" ht="15" customFormat="1" customHeight="1" s="380">
      <c r="A127" s="397" t="inlineStr">
        <is>
          <t>5300-1050 Meals and Entertainment</t>
        </is>
      </c>
      <c r="B127" s="392">
        <f>IF(ISBLANK(Actuals!C35),0,Actuals!C35)</f>
        <v/>
      </c>
      <c r="C127" s="392">
        <f>IF(ISBLANK(Actuals!D35),0,Actuals!D35)</f>
        <v/>
      </c>
      <c r="D127" s="392">
        <f>IF(ISBLANK(Actuals!E35),0,Actuals!E35)</f>
        <v/>
      </c>
      <c r="E127" s="392">
        <f>IF(ISBLANK(Actuals!F35),-1134.62*Escalation!$B$2,Actuals!F35)</f>
        <v/>
      </c>
      <c r="F127" s="392">
        <f>IF(ISBLANK(Actuals!G35),-1134.62*Escalation!$B$3,Actuals!G35)</f>
        <v/>
      </c>
      <c r="G127" s="392">
        <f>IF(ISBLANK(Actuals!H35),-1134.62*Escalation!$B$4,Actuals!H35)</f>
        <v/>
      </c>
      <c r="H127" s="392">
        <f>IF(ISBLANK(Actuals!I35),-1134.62*Escalation!$B$5,Actuals!I35)</f>
        <v/>
      </c>
      <c r="I127" s="392">
        <f>IF(ISBLANK(Actuals!J35),-1134.62*Escalation!$B$6,Actuals!J35)</f>
        <v/>
      </c>
      <c r="J127" s="392">
        <f>IF(ISBLANK(Actuals!K35),-1134.62*Escalation!$B$7,Actuals!K35)</f>
        <v/>
      </c>
      <c r="K127" s="392">
        <f>IF(ISBLANK(Actuals!L35),-1134.62*Escalation!$B$8,Actuals!L35)</f>
        <v/>
      </c>
      <c r="L127" s="392">
        <f>IF(ISBLANK(Actuals!M35),-1134.62*Escalation!$B$9,Actuals!M35)</f>
        <v/>
      </c>
      <c r="M127" s="392">
        <f>IF(ISBLANK(Actuals!N35),-1134.62*Escalation!$B$10,Actuals!N35)</f>
        <v/>
      </c>
      <c r="N127" s="392">
        <f>IF(ISBLANK(Actuals!O35),-1134.62*Escalation!$B$11,Actuals!O35)</f>
        <v/>
      </c>
      <c r="O127" s="392">
        <f>IF(ISBLANK(Actuals!P35),-1134.62*Escalation!$B$12,Actuals!P35)</f>
        <v/>
      </c>
      <c r="P127" s="392">
        <f>IF(ISBLANK(Actuals!Q35),-1134.62*Escalation!$B$13,Actuals!Q35)</f>
        <v/>
      </c>
      <c r="Q127" s="392">
        <f>IF(ISBLANK(Actuals!R35),-1134.62*Escalation!$B$14,Actuals!R35)</f>
        <v/>
      </c>
      <c r="R127" s="392">
        <f>IF(ISBLANK(Actuals!S35),-1134.62*Escalation!$B$15,Actuals!S35)</f>
        <v/>
      </c>
      <c r="S127" s="392">
        <f>IF(ISBLANK(Actuals!T35),-1134.62*Escalation!$B$16,Actuals!T35)</f>
        <v/>
      </c>
      <c r="T127" s="392">
        <f>IF(ISBLANK(Actuals!U35),-1134.62*Escalation!$B$17,Actuals!U35)</f>
        <v/>
      </c>
      <c r="U127" s="392">
        <f>IF(ISBLANK(Actuals!V35),-1134.62*Escalation!$B$18,Actuals!V35)</f>
        <v/>
      </c>
      <c r="V127" s="392">
        <f>IF(ISBLANK(Actuals!W35),-1134.62*Escalation!$B$19,Actuals!W35)</f>
        <v/>
      </c>
      <c r="W127" s="392">
        <f>IF(ISBLANK(Actuals!X35),-1134.62*Escalation!$B$20,Actuals!X35)</f>
        <v/>
      </c>
      <c r="X127" s="392">
        <f>IF(ISBLANK(Actuals!Y35),-1134.62*Escalation!$B$21,Actuals!Y35)</f>
        <v/>
      </c>
      <c r="Y127" s="392">
        <f>IF(ISBLANK(Actuals!Z35),-1134.62*Escalation!$B$22,Actuals!Z35)</f>
        <v/>
      </c>
      <c r="Z127" s="392">
        <f>IF(ISBLANK(Actuals!AA35),-1134.62*Escalation!$B$23,Actuals!AA35)</f>
        <v/>
      </c>
      <c r="AA127" s="392">
        <f>IF(ISBLANK(Actuals!AB35),-1134.62*Escalation!$B$24,Actuals!AB35)</f>
        <v/>
      </c>
      <c r="AB127" s="392">
        <f>IF(ISBLANK(Actuals!AC35),-1134.62*Escalation!$B$25,Actuals!AC35)</f>
        <v/>
      </c>
      <c r="AC127" s="392">
        <f>IF(ISBLANK(Actuals!AD35),-1134.62*Escalation!$B$26,Actuals!AD35)</f>
        <v/>
      </c>
      <c r="AD127" s="392">
        <f>IF(ISBLANK(Actuals!AE35),-1134.62*Escalation!$B$27,Actuals!AE35)</f>
        <v/>
      </c>
      <c r="AE127" s="392">
        <f>IF(ISBLANK(Actuals!AF35),-1134.62*Escalation!$B$28,Actuals!AF35)</f>
        <v/>
      </c>
      <c r="AF127" s="392">
        <f>IF(ISBLANK(Actuals!AG35),-1134.62*Escalation!$B$29,Actuals!AG35)</f>
        <v/>
      </c>
      <c r="AG127" s="392">
        <f>IF(ISBLANK(Actuals!AH35),-1134.62*Escalation!$B$30,Actuals!AH35)</f>
        <v/>
      </c>
      <c r="AH127" s="392">
        <f>IF(ISBLANK(Actuals!AI35),-1134.62*Escalation!$B$31,Actuals!AI35)</f>
        <v/>
      </c>
      <c r="AI127" s="392">
        <f>IF(ISBLANK(Actuals!AJ35),-1134.62*Escalation!$B$32,Actuals!AJ35)</f>
        <v/>
      </c>
      <c r="AJ127" s="392">
        <f>IF(ISBLANK(Actuals!AK35),-1134.62*Escalation!$B$33,Actuals!AK35)</f>
        <v/>
      </c>
      <c r="AK127" s="392">
        <f>IF(ISBLANK(Actuals!AL35),-1134.62*Escalation!$B$34,Actuals!AL35)</f>
        <v/>
      </c>
      <c r="AL127" s="392">
        <f>IF(ISBLANK(Actuals!AM35),-1134.62*Escalation!$B$35,Actuals!AM35)</f>
        <v/>
      </c>
      <c r="AM127" s="392">
        <f>IF(ISBLANK(Actuals!AN35),-1134.62*Escalation!$B$36,Actuals!AN35)</f>
        <v/>
      </c>
      <c r="AN127" s="392">
        <f>IF(ISBLANK(Actuals!AO35),-1134.62*Escalation!$B$37,Actuals!AO35)</f>
        <v/>
      </c>
      <c r="AO127" s="392">
        <f>IF(ISBLANK(Actuals!AP35),-1134.62*Escalation!$B$38,Actuals!AP35)</f>
        <v/>
      </c>
      <c r="AP127" s="392">
        <f>IF(ISBLANK(Actuals!AQ35),-1134.62*Escalation!$B$39,Actuals!AQ35)</f>
        <v/>
      </c>
      <c r="AQ127" s="392">
        <f>IF(ISBLANK(Actuals!AR35),-1134.62*Escalation!$B$40,Actuals!AR35)</f>
        <v/>
      </c>
      <c r="AR127" s="392">
        <f>IF(ISBLANK(Actuals!AS35),-1134.62*Escalation!$B$41,Actuals!AS35)</f>
        <v/>
      </c>
      <c r="AS127" s="392">
        <f>IF(ISBLANK(Actuals!AT35),-1134.62*Escalation!$B$42,Actuals!AT35)</f>
        <v/>
      </c>
      <c r="AT127" s="392">
        <f>IF(ISBLANK(Actuals!AU35),-1134.62*Escalation!$B$43,Actuals!AU35)</f>
        <v/>
      </c>
      <c r="AU127" s="392">
        <f>IF(ISBLANK(Actuals!AV35),-1134.62*Escalation!$B$44,Actuals!AV35)</f>
        <v/>
      </c>
      <c r="AV127" s="392">
        <f>IF(ISBLANK(Actuals!AW35),-1134.62*Escalation!$B$45,Actuals!AW35)</f>
        <v/>
      </c>
      <c r="AW127" s="392">
        <f>IF(ISBLANK(Actuals!AX35),-1134.62*Escalation!$B$46,Actuals!AX35)</f>
        <v/>
      </c>
      <c r="AX127" s="392">
        <f>IF(ISBLANK(Actuals!AY35),-1134.62*Escalation!$B$47,Actuals!AY35)</f>
        <v/>
      </c>
      <c r="AY127" s="392">
        <f>IF(ISBLANK(Actuals!AZ35),-1134.62*Escalation!$B$48,Actuals!AZ35)</f>
        <v/>
      </c>
      <c r="AZ127" s="392">
        <f>IF(ISBLANK(Actuals!BA35),-1134.62*Escalation!$B$49,Actuals!BA35)</f>
        <v/>
      </c>
      <c r="BA127" s="392">
        <f>IF(ISBLANK(Actuals!BB35),-1134.62*Escalation!$B$50,Actuals!BB35)</f>
        <v/>
      </c>
      <c r="BB127" s="392">
        <f>IF(ISBLANK(Actuals!BC35),-1134.62*Escalation!$B$51,Actuals!BC35)</f>
        <v/>
      </c>
      <c r="BC127" s="392">
        <f>IF(ISBLANK(Actuals!BD35),-1134.62*Escalation!$B$52,Actuals!BD35)</f>
        <v/>
      </c>
      <c r="BD127" s="392">
        <f>IF(ISBLANK(Actuals!BE35),-1134.62*Escalation!$B$53,Actuals!BE35)</f>
        <v/>
      </c>
      <c r="BE127" s="392">
        <f>IF(ISBLANK(Actuals!BF35),-1134.62*Escalation!$B$54,Actuals!BF35)</f>
        <v/>
      </c>
      <c r="BF127" s="392">
        <f>IF(ISBLANK(Actuals!BG35),-1134.62*Escalation!$B$55,Actuals!BG35)</f>
        <v/>
      </c>
      <c r="BG127" s="392">
        <f>IF(ISBLANK(Actuals!BH35),-1134.62*Escalation!$B$56,Actuals!BH35)</f>
        <v/>
      </c>
      <c r="BH127" s="392">
        <f>IF(ISBLANK(Actuals!BI35),-1134.62*Escalation!$B$57,Actuals!BI35)</f>
        <v/>
      </c>
      <c r="BI127" s="392">
        <f>IF(ISBLANK(Actuals!BJ35),-1134.62*Escalation!$B$58,Actuals!BJ35)</f>
        <v/>
      </c>
      <c r="BJ127" s="392">
        <f>IF(ISBLANK(Actuals!BK35),-1134.62*Escalation!$B$59,Actuals!BK35)</f>
        <v/>
      </c>
      <c r="BK127" s="392">
        <f>IF(ISBLANK(Actuals!BL35),-1134.62*Escalation!$B$60,Actuals!BL35)</f>
        <v/>
      </c>
      <c r="BL127" s="392">
        <f>IF(ISBLANK(Actuals!BM35),-1134.62*Escalation!$B$61,Actuals!BM35)</f>
        <v/>
      </c>
      <c r="BM127" s="392">
        <f>IF(ISBLANK(Actuals!BN35),-1134.62*Escalation!$B$62,Actuals!BN35)</f>
        <v/>
      </c>
      <c r="BN127" s="392">
        <f>IF(ISBLANK(Actuals!BO35),-1134.62*Escalation!$B$63,Actuals!BO35)</f>
        <v/>
      </c>
      <c r="BO127" s="392">
        <f>IF(ISBLANK(Actuals!BP35),-1134.62*Escalation!$B$64,Actuals!BP35)</f>
        <v/>
      </c>
      <c r="BP127" s="392">
        <f>IF(ISBLANK(Actuals!BQ35),-1134.62*Escalation!$B$65,Actuals!BQ35)</f>
        <v/>
      </c>
      <c r="BQ127" s="392">
        <f>IF(ISBLANK(Actuals!BR35),-1134.62*Escalation!$B$66,Actuals!BR35)</f>
        <v/>
      </c>
      <c r="BR127" s="392">
        <f>IF(ISBLANK(Actuals!BS35),-1134.62*Escalation!$B$67,Actuals!BS35)</f>
        <v/>
      </c>
      <c r="BS127" s="392">
        <f>IF(ISBLANK(Actuals!BT35),-1134.62*Escalation!$B$68,Actuals!BT35)</f>
        <v/>
      </c>
      <c r="BT127" s="392">
        <f>IF(ISBLANK(Actuals!BU35),-1134.62*Escalation!$B$69,Actuals!BU35)</f>
        <v/>
      </c>
      <c r="BU127" s="392">
        <f>IF(ISBLANK(Actuals!BV35),-1134.62*Escalation!$B$70,Actuals!BV35)</f>
        <v/>
      </c>
      <c r="BV127" s="392">
        <f>IF(ISBLANK(Actuals!BW35),-1134.62*Escalation!$B$71,Actuals!BW35)</f>
        <v/>
      </c>
      <c r="BW127" s="392">
        <f>IF(ISBLANK(Actuals!BX35),-1134.62*Escalation!$B$72,Actuals!BX35)</f>
        <v/>
      </c>
      <c r="BX127" s="392">
        <f>IF(ISBLANK(Actuals!BY35),-1134.62*Escalation!$B$73,Actuals!BY35)</f>
        <v/>
      </c>
      <c r="BY127" s="392">
        <f>IF(ISBLANK(Actuals!BZ35),-1134.62*Escalation!$B$74,Actuals!BZ35)</f>
        <v/>
      </c>
      <c r="BZ127" s="392">
        <f>IF(ISBLANK(Actuals!CA35),-1134.62*Escalation!$B$75,Actuals!CA35)</f>
        <v/>
      </c>
      <c r="CA127" s="392">
        <f>IF(ISBLANK(Actuals!CB35),-1134.62*Escalation!$B$76,Actuals!CB35)</f>
        <v/>
      </c>
      <c r="CB127" s="392">
        <f>IF(ISBLANK(Actuals!CC35),-1134.62*Escalation!$B$77,Actuals!CC35)</f>
        <v/>
      </c>
      <c r="CC127" s="392">
        <f>IF(ISBLANK(Actuals!CD35),-1134.62*Escalation!$B$78,Actuals!CD35)</f>
        <v/>
      </c>
      <c r="CD127" s="392">
        <f>IF(ISBLANK(Actuals!CE35),-1134.62*Escalation!$B$79,Actuals!CE35)</f>
        <v/>
      </c>
      <c r="CE127" s="392">
        <f>IF(ISBLANK(Actuals!CF35),-1134.62*Escalation!$B$80,Actuals!CF35)</f>
        <v/>
      </c>
      <c r="CF127" s="392">
        <f>IF(ISBLANK(Actuals!CG35),-1134.62*Escalation!$B$81,Actuals!CG35)</f>
        <v/>
      </c>
      <c r="CG127" s="392">
        <f>IF(ISBLANK(Actuals!CH35),-1134.62*Escalation!$B$82,Actuals!CH35)</f>
        <v/>
      </c>
      <c r="CH127" s="392">
        <f>IF(ISBLANK(Actuals!CI35),-1134.62*Escalation!$B$83,Actuals!CI35)</f>
        <v/>
      </c>
      <c r="CI127" s="392">
        <f>IF(ISBLANK(Actuals!CJ35),-1134.62*Escalation!$B$84,Actuals!CJ35)</f>
        <v/>
      </c>
      <c r="CJ127" s="392">
        <f>IF(ISBLANK(Actuals!CK35),-1134.62*Escalation!$B$85,Actuals!CK35)</f>
        <v/>
      </c>
      <c r="CK127" s="392">
        <f>IF(ISBLANK(Actuals!CL35),-1134.62*Escalation!$B$86,Actuals!CL35)</f>
        <v/>
      </c>
      <c r="CL127" s="392">
        <f>IF(ISBLANK(Actuals!CM35),-1134.62*Escalation!$B$87,Actuals!CM35)</f>
        <v/>
      </c>
      <c r="CM127" s="392">
        <f>IF(ISBLANK(Actuals!CN35),-1134.62*Escalation!$B$88,Actuals!CN35)</f>
        <v/>
      </c>
      <c r="CN127" s="392">
        <f>IF(ISBLANK(Actuals!CO35),-1134.62*Escalation!$B$89,Actuals!CO35)</f>
        <v/>
      </c>
      <c r="CO127" s="392">
        <f>IF(ISBLANK(Actuals!CP35),-1134.62*Escalation!$B$90,Actuals!CP35)</f>
        <v/>
      </c>
      <c r="CP127" s="392">
        <f>IF(ISBLANK(Actuals!CQ35),-1134.62*Escalation!$B$91,Actuals!CQ35)</f>
        <v/>
      </c>
      <c r="CQ127" s="392">
        <f>IF(ISBLANK(Actuals!CR35),-1134.62*Escalation!$B$92,Actuals!CR35)</f>
        <v/>
      </c>
      <c r="CR127" s="392">
        <f>IF(ISBLANK(Actuals!CS35),-1134.62*Escalation!$B$93,Actuals!CS35)</f>
        <v/>
      </c>
      <c r="CS127" s="392">
        <f>IF(ISBLANK(Actuals!CT35),-1134.62*Escalation!$B$94,Actuals!CT35)</f>
        <v/>
      </c>
      <c r="CT127" s="392">
        <f>IF(ISBLANK(Actuals!CU35),-1134.62*Escalation!$B$95,Actuals!CU35)</f>
        <v/>
      </c>
      <c r="CU127" s="392">
        <f>IF(ISBLANK(Actuals!CV35),-1134.62*Escalation!$B$96,Actuals!CV35)</f>
        <v/>
      </c>
      <c r="CV127" s="392">
        <f>IF(ISBLANK(Actuals!CW35),-1134.62*Escalation!$B$97,Actuals!CW35)</f>
        <v/>
      </c>
      <c r="CW127" s="392">
        <f>IF(ISBLANK(Actuals!CX35),-1134.62*Escalation!$B$98,Actuals!CX35)</f>
        <v/>
      </c>
      <c r="CX127" s="392">
        <f>IF(ISBLANK(Actuals!CY35),-1134.62*Escalation!$B$99,Actuals!CY35)</f>
        <v/>
      </c>
      <c r="CY127" s="392">
        <f>IF(ISBLANK(Actuals!CZ35),-1134.62*Escalation!$B$100,Actuals!CZ35)</f>
        <v/>
      </c>
      <c r="CZ127" s="392">
        <f>IF(ISBLANK(Actuals!DA35),-1134.62*Escalation!$B$101,Actuals!DA35)</f>
        <v/>
      </c>
      <c r="DA127" s="392">
        <f>IF(ISBLANK(Actuals!DB35),-1134.62*Escalation!$B$102,Actuals!DB35)</f>
        <v/>
      </c>
      <c r="DB127" s="392">
        <f>IF(ISBLANK(Actuals!DC35),-1134.62*Escalation!$B$103,Actuals!DC35)</f>
        <v/>
      </c>
      <c r="DC127" s="392">
        <f>IF(ISBLANK(Actuals!DD35),-1134.62*Escalation!$B$104,Actuals!DD35)</f>
        <v/>
      </c>
      <c r="DD127" s="392">
        <f>IF(ISBLANK(Actuals!DE35),-1134.62*Escalation!$B$105,Actuals!DE35)</f>
        <v/>
      </c>
      <c r="DE127" s="392">
        <f>IF(ISBLANK(Actuals!DF35),-1134.62*Escalation!$B$106,Actuals!DF35)</f>
        <v/>
      </c>
    </row>
    <row r="128" ht="15" customFormat="1" customHeight="1" s="380">
      <c r="A128" s="397" t="inlineStr">
        <is>
          <t>5500-1000 Legal and Professional Fees</t>
        </is>
      </c>
      <c r="B128" s="392">
        <f>IF(ISBLANK(Actuals!C36),0,Actuals!C36)</f>
        <v/>
      </c>
      <c r="C128" s="392">
        <f>IF(ISBLANK(Actuals!D36),0,Actuals!D36)</f>
        <v/>
      </c>
      <c r="D128" s="392">
        <f>IF(ISBLANK(Actuals!E36),0,Actuals!E36)</f>
        <v/>
      </c>
      <c r="E128" s="392">
        <f>IF(ISBLANK(Actuals!F36),-1270.83*Escalation!$B$2,Actuals!F36)</f>
        <v/>
      </c>
      <c r="F128" s="392">
        <f>IF(ISBLANK(Actuals!G36),-1270.83*Escalation!$B$3,Actuals!G36)</f>
        <v/>
      </c>
      <c r="G128" s="392">
        <f>IF(ISBLANK(Actuals!H36),-1270.83*Escalation!$B$4,Actuals!H36)</f>
        <v/>
      </c>
      <c r="H128" s="392">
        <f>IF(ISBLANK(Actuals!I36),-1270.83*Escalation!$B$5,Actuals!I36)</f>
        <v/>
      </c>
      <c r="I128" s="392">
        <f>IF(ISBLANK(Actuals!J36),-1270.83*Escalation!$B$6,Actuals!J36)</f>
        <v/>
      </c>
      <c r="J128" s="392">
        <f>IF(ISBLANK(Actuals!K36),-1270.83*Escalation!$B$7,Actuals!K36)</f>
        <v/>
      </c>
      <c r="K128" s="392">
        <f>IF(ISBLANK(Actuals!L36),-1270.83*Escalation!$B$8,Actuals!L36)</f>
        <v/>
      </c>
      <c r="L128" s="392">
        <f>IF(ISBLANK(Actuals!M36),-1270.83*Escalation!$B$9,Actuals!M36)</f>
        <v/>
      </c>
      <c r="M128" s="392">
        <f>IF(ISBLANK(Actuals!N36),-1270.83*Escalation!$B$10,Actuals!N36)</f>
        <v/>
      </c>
      <c r="N128" s="392">
        <f>IF(ISBLANK(Actuals!O36),-1270.83*Escalation!$B$11,Actuals!O36)</f>
        <v/>
      </c>
      <c r="O128" s="392">
        <f>IF(ISBLANK(Actuals!P36),-1270.83*Escalation!$B$12,Actuals!P36)</f>
        <v/>
      </c>
      <c r="P128" s="392">
        <f>IF(ISBLANK(Actuals!Q36),-1270.83*Escalation!$B$13,Actuals!Q36)</f>
        <v/>
      </c>
      <c r="Q128" s="392">
        <f>IF(ISBLANK(Actuals!R36),-1270.83*Escalation!$B$14,Actuals!R36)</f>
        <v/>
      </c>
      <c r="R128" s="392">
        <f>IF(ISBLANK(Actuals!S36),-1270.83*Escalation!$B$15,Actuals!S36)</f>
        <v/>
      </c>
      <c r="S128" s="392">
        <f>IF(ISBLANK(Actuals!T36),-1270.83*Escalation!$B$16,Actuals!T36)</f>
        <v/>
      </c>
      <c r="T128" s="392">
        <f>IF(ISBLANK(Actuals!U36),-1270.83*Escalation!$B$17,Actuals!U36)</f>
        <v/>
      </c>
      <c r="U128" s="392">
        <f>IF(ISBLANK(Actuals!V36),-1270.83*Escalation!$B$18,Actuals!V36)</f>
        <v/>
      </c>
      <c r="V128" s="392">
        <f>IF(ISBLANK(Actuals!W36),-1270.83*Escalation!$B$19,Actuals!W36)</f>
        <v/>
      </c>
      <c r="W128" s="392">
        <f>IF(ISBLANK(Actuals!X36),-1270.83*Escalation!$B$20,Actuals!X36)</f>
        <v/>
      </c>
      <c r="X128" s="392">
        <f>IF(ISBLANK(Actuals!Y36),-1270.83*Escalation!$B$21,Actuals!Y36)</f>
        <v/>
      </c>
      <c r="Y128" s="392">
        <f>IF(ISBLANK(Actuals!Z36),-1270.83*Escalation!$B$22,Actuals!Z36)</f>
        <v/>
      </c>
      <c r="Z128" s="392">
        <f>IF(ISBLANK(Actuals!AA36),-1270.83*Escalation!$B$23,Actuals!AA36)</f>
        <v/>
      </c>
      <c r="AA128" s="392">
        <f>IF(ISBLANK(Actuals!AB36),-1270.83*Escalation!$B$24,Actuals!AB36)</f>
        <v/>
      </c>
      <c r="AB128" s="392">
        <f>IF(ISBLANK(Actuals!AC36),-1270.83*Escalation!$B$25,Actuals!AC36)</f>
        <v/>
      </c>
      <c r="AC128" s="392">
        <f>IF(ISBLANK(Actuals!AD36),-1270.83*Escalation!$B$26,Actuals!AD36)</f>
        <v/>
      </c>
      <c r="AD128" s="392">
        <f>IF(ISBLANK(Actuals!AE36),-1270.83*Escalation!$B$27,Actuals!AE36)</f>
        <v/>
      </c>
      <c r="AE128" s="392">
        <f>IF(ISBLANK(Actuals!AF36),-1270.83*Escalation!$B$28,Actuals!AF36)</f>
        <v/>
      </c>
      <c r="AF128" s="392">
        <f>IF(ISBLANK(Actuals!AG36),-1270.83*Escalation!$B$29,Actuals!AG36)</f>
        <v/>
      </c>
      <c r="AG128" s="392">
        <f>IF(ISBLANK(Actuals!AH36),-1270.83*Escalation!$B$30,Actuals!AH36)</f>
        <v/>
      </c>
      <c r="AH128" s="392">
        <f>IF(ISBLANK(Actuals!AI36),-1270.83*Escalation!$B$31,Actuals!AI36)</f>
        <v/>
      </c>
      <c r="AI128" s="392">
        <f>IF(ISBLANK(Actuals!AJ36),-1270.83*Escalation!$B$32,Actuals!AJ36)</f>
        <v/>
      </c>
      <c r="AJ128" s="392">
        <f>IF(ISBLANK(Actuals!AK36),-1270.83*Escalation!$B$33,Actuals!AK36)</f>
        <v/>
      </c>
      <c r="AK128" s="392">
        <f>IF(ISBLANK(Actuals!AL36),-1270.83*Escalation!$B$34,Actuals!AL36)</f>
        <v/>
      </c>
      <c r="AL128" s="392">
        <f>IF(ISBLANK(Actuals!AM36),-1270.83*Escalation!$B$35,Actuals!AM36)</f>
        <v/>
      </c>
      <c r="AM128" s="392">
        <f>IF(ISBLANK(Actuals!AN36),-1270.83*Escalation!$B$36,Actuals!AN36)</f>
        <v/>
      </c>
      <c r="AN128" s="392">
        <f>IF(ISBLANK(Actuals!AO36),-1270.83*Escalation!$B$37,Actuals!AO36)</f>
        <v/>
      </c>
      <c r="AO128" s="392">
        <f>IF(ISBLANK(Actuals!AP36),-1270.83*Escalation!$B$38,Actuals!AP36)</f>
        <v/>
      </c>
      <c r="AP128" s="392">
        <f>IF(ISBLANK(Actuals!AQ36),-1270.83*Escalation!$B$39,Actuals!AQ36)</f>
        <v/>
      </c>
      <c r="AQ128" s="392">
        <f>IF(ISBLANK(Actuals!AR36),-1270.83*Escalation!$B$40,Actuals!AR36)</f>
        <v/>
      </c>
      <c r="AR128" s="392">
        <f>IF(ISBLANK(Actuals!AS36),-1270.83*Escalation!$B$41,Actuals!AS36)</f>
        <v/>
      </c>
      <c r="AS128" s="392">
        <f>IF(ISBLANK(Actuals!AT36),-1270.83*Escalation!$B$42,Actuals!AT36)</f>
        <v/>
      </c>
      <c r="AT128" s="392">
        <f>IF(ISBLANK(Actuals!AU36),-1270.83*Escalation!$B$43,Actuals!AU36)</f>
        <v/>
      </c>
      <c r="AU128" s="392">
        <f>IF(ISBLANK(Actuals!AV36),-1270.83*Escalation!$B$44,Actuals!AV36)</f>
        <v/>
      </c>
      <c r="AV128" s="392">
        <f>IF(ISBLANK(Actuals!AW36),-1270.83*Escalation!$B$45,Actuals!AW36)</f>
        <v/>
      </c>
      <c r="AW128" s="392">
        <f>IF(ISBLANK(Actuals!AX36),-1270.83*Escalation!$B$46,Actuals!AX36)</f>
        <v/>
      </c>
      <c r="AX128" s="392">
        <f>IF(ISBLANK(Actuals!AY36),-1270.83*Escalation!$B$47,Actuals!AY36)</f>
        <v/>
      </c>
      <c r="AY128" s="392">
        <f>IF(ISBLANK(Actuals!AZ36),-1270.83*Escalation!$B$48,Actuals!AZ36)</f>
        <v/>
      </c>
      <c r="AZ128" s="392">
        <f>IF(ISBLANK(Actuals!BA36),-1270.83*Escalation!$B$49,Actuals!BA36)</f>
        <v/>
      </c>
      <c r="BA128" s="392">
        <f>IF(ISBLANK(Actuals!BB36),-1270.83*Escalation!$B$50,Actuals!BB36)</f>
        <v/>
      </c>
      <c r="BB128" s="392">
        <f>IF(ISBLANK(Actuals!BC36),-1270.83*Escalation!$B$51,Actuals!BC36)</f>
        <v/>
      </c>
      <c r="BC128" s="392">
        <f>IF(ISBLANK(Actuals!BD36),-1270.83*Escalation!$B$52,Actuals!BD36)</f>
        <v/>
      </c>
      <c r="BD128" s="392">
        <f>IF(ISBLANK(Actuals!BE36),-1270.83*Escalation!$B$53,Actuals!BE36)</f>
        <v/>
      </c>
      <c r="BE128" s="392">
        <f>IF(ISBLANK(Actuals!BF36),-1270.83*Escalation!$B$54,Actuals!BF36)</f>
        <v/>
      </c>
      <c r="BF128" s="392">
        <f>IF(ISBLANK(Actuals!BG36),-1270.83*Escalation!$B$55,Actuals!BG36)</f>
        <v/>
      </c>
      <c r="BG128" s="392">
        <f>IF(ISBLANK(Actuals!BH36),-1270.83*Escalation!$B$56,Actuals!BH36)</f>
        <v/>
      </c>
      <c r="BH128" s="392">
        <f>IF(ISBLANK(Actuals!BI36),-1270.83*Escalation!$B$57,Actuals!BI36)</f>
        <v/>
      </c>
      <c r="BI128" s="392">
        <f>IF(ISBLANK(Actuals!BJ36),-1270.83*Escalation!$B$58,Actuals!BJ36)</f>
        <v/>
      </c>
      <c r="BJ128" s="392">
        <f>IF(ISBLANK(Actuals!BK36),-1270.83*Escalation!$B$59,Actuals!BK36)</f>
        <v/>
      </c>
      <c r="BK128" s="392">
        <f>IF(ISBLANK(Actuals!BL36),-1270.83*Escalation!$B$60,Actuals!BL36)</f>
        <v/>
      </c>
      <c r="BL128" s="392">
        <f>IF(ISBLANK(Actuals!BM36),-1270.83*Escalation!$B$61,Actuals!BM36)</f>
        <v/>
      </c>
      <c r="BM128" s="392">
        <f>IF(ISBLANK(Actuals!BN36),-1270.83*Escalation!$B$62,Actuals!BN36)</f>
        <v/>
      </c>
      <c r="BN128" s="392">
        <f>IF(ISBLANK(Actuals!BO36),-1270.83*Escalation!$B$63,Actuals!BO36)</f>
        <v/>
      </c>
      <c r="BO128" s="392">
        <f>IF(ISBLANK(Actuals!BP36),-1270.83*Escalation!$B$64,Actuals!BP36)</f>
        <v/>
      </c>
      <c r="BP128" s="392">
        <f>IF(ISBLANK(Actuals!BQ36),-1270.83*Escalation!$B$65,Actuals!BQ36)</f>
        <v/>
      </c>
      <c r="BQ128" s="392">
        <f>IF(ISBLANK(Actuals!BR36),-1270.83*Escalation!$B$66,Actuals!BR36)</f>
        <v/>
      </c>
      <c r="BR128" s="392">
        <f>IF(ISBLANK(Actuals!BS36),-1270.83*Escalation!$B$67,Actuals!BS36)</f>
        <v/>
      </c>
      <c r="BS128" s="392">
        <f>IF(ISBLANK(Actuals!BT36),-1270.83*Escalation!$B$68,Actuals!BT36)</f>
        <v/>
      </c>
      <c r="BT128" s="392">
        <f>IF(ISBLANK(Actuals!BU36),-1270.83*Escalation!$B$69,Actuals!BU36)</f>
        <v/>
      </c>
      <c r="BU128" s="392">
        <f>IF(ISBLANK(Actuals!BV36),-1270.83*Escalation!$B$70,Actuals!BV36)</f>
        <v/>
      </c>
      <c r="BV128" s="392">
        <f>IF(ISBLANK(Actuals!BW36),-1270.83*Escalation!$B$71,Actuals!BW36)</f>
        <v/>
      </c>
      <c r="BW128" s="392">
        <f>IF(ISBLANK(Actuals!BX36),-1270.83*Escalation!$B$72,Actuals!BX36)</f>
        <v/>
      </c>
      <c r="BX128" s="392">
        <f>IF(ISBLANK(Actuals!BY36),-1270.83*Escalation!$B$73,Actuals!BY36)</f>
        <v/>
      </c>
      <c r="BY128" s="392">
        <f>IF(ISBLANK(Actuals!BZ36),-1270.83*Escalation!$B$74,Actuals!BZ36)</f>
        <v/>
      </c>
      <c r="BZ128" s="392">
        <f>IF(ISBLANK(Actuals!CA36),-1270.83*Escalation!$B$75,Actuals!CA36)</f>
        <v/>
      </c>
      <c r="CA128" s="392">
        <f>IF(ISBLANK(Actuals!CB36),-1270.83*Escalation!$B$76,Actuals!CB36)</f>
        <v/>
      </c>
      <c r="CB128" s="392">
        <f>IF(ISBLANK(Actuals!CC36),-1270.83*Escalation!$B$77,Actuals!CC36)</f>
        <v/>
      </c>
      <c r="CC128" s="392">
        <f>IF(ISBLANK(Actuals!CD36),-1270.83*Escalation!$B$78,Actuals!CD36)</f>
        <v/>
      </c>
      <c r="CD128" s="392">
        <f>IF(ISBLANK(Actuals!CE36),-1270.83*Escalation!$B$79,Actuals!CE36)</f>
        <v/>
      </c>
      <c r="CE128" s="392">
        <f>IF(ISBLANK(Actuals!CF36),-1270.83*Escalation!$B$80,Actuals!CF36)</f>
        <v/>
      </c>
      <c r="CF128" s="392">
        <f>IF(ISBLANK(Actuals!CG36),-1270.83*Escalation!$B$81,Actuals!CG36)</f>
        <v/>
      </c>
      <c r="CG128" s="392">
        <f>IF(ISBLANK(Actuals!CH36),-1270.83*Escalation!$B$82,Actuals!CH36)</f>
        <v/>
      </c>
      <c r="CH128" s="392">
        <f>IF(ISBLANK(Actuals!CI36),-1270.83*Escalation!$B$83,Actuals!CI36)</f>
        <v/>
      </c>
      <c r="CI128" s="392">
        <f>IF(ISBLANK(Actuals!CJ36),-1270.83*Escalation!$B$84,Actuals!CJ36)</f>
        <v/>
      </c>
      <c r="CJ128" s="392">
        <f>IF(ISBLANK(Actuals!CK36),-1270.83*Escalation!$B$85,Actuals!CK36)</f>
        <v/>
      </c>
      <c r="CK128" s="392">
        <f>IF(ISBLANK(Actuals!CL36),-1270.83*Escalation!$B$86,Actuals!CL36)</f>
        <v/>
      </c>
      <c r="CL128" s="392">
        <f>IF(ISBLANK(Actuals!CM36),-1270.83*Escalation!$B$87,Actuals!CM36)</f>
        <v/>
      </c>
      <c r="CM128" s="392">
        <f>IF(ISBLANK(Actuals!CN36),-1270.83*Escalation!$B$88,Actuals!CN36)</f>
        <v/>
      </c>
      <c r="CN128" s="392">
        <f>IF(ISBLANK(Actuals!CO36),-1270.83*Escalation!$B$89,Actuals!CO36)</f>
        <v/>
      </c>
      <c r="CO128" s="392">
        <f>IF(ISBLANK(Actuals!CP36),-1270.83*Escalation!$B$90,Actuals!CP36)</f>
        <v/>
      </c>
      <c r="CP128" s="392">
        <f>IF(ISBLANK(Actuals!CQ36),-1270.83*Escalation!$B$91,Actuals!CQ36)</f>
        <v/>
      </c>
      <c r="CQ128" s="392">
        <f>IF(ISBLANK(Actuals!CR36),-1270.83*Escalation!$B$92,Actuals!CR36)</f>
        <v/>
      </c>
      <c r="CR128" s="392">
        <f>IF(ISBLANK(Actuals!CS36),-1270.83*Escalation!$B$93,Actuals!CS36)</f>
        <v/>
      </c>
      <c r="CS128" s="392">
        <f>IF(ISBLANK(Actuals!CT36),-1270.83*Escalation!$B$94,Actuals!CT36)</f>
        <v/>
      </c>
      <c r="CT128" s="392">
        <f>IF(ISBLANK(Actuals!CU36),-1270.83*Escalation!$B$95,Actuals!CU36)</f>
        <v/>
      </c>
      <c r="CU128" s="392">
        <f>IF(ISBLANK(Actuals!CV36),-1270.83*Escalation!$B$96,Actuals!CV36)</f>
        <v/>
      </c>
      <c r="CV128" s="392">
        <f>IF(ISBLANK(Actuals!CW36),-1270.83*Escalation!$B$97,Actuals!CW36)</f>
        <v/>
      </c>
      <c r="CW128" s="392">
        <f>IF(ISBLANK(Actuals!CX36),-1270.83*Escalation!$B$98,Actuals!CX36)</f>
        <v/>
      </c>
      <c r="CX128" s="392">
        <f>IF(ISBLANK(Actuals!CY36),-1270.83*Escalation!$B$99,Actuals!CY36)</f>
        <v/>
      </c>
      <c r="CY128" s="392">
        <f>IF(ISBLANK(Actuals!CZ36),-1270.83*Escalation!$B$100,Actuals!CZ36)</f>
        <v/>
      </c>
      <c r="CZ128" s="392">
        <f>IF(ISBLANK(Actuals!DA36),-1270.83*Escalation!$B$101,Actuals!DA36)</f>
        <v/>
      </c>
      <c r="DA128" s="392">
        <f>IF(ISBLANK(Actuals!DB36),-1270.83*Escalation!$B$102,Actuals!DB36)</f>
        <v/>
      </c>
      <c r="DB128" s="392">
        <f>IF(ISBLANK(Actuals!DC36),-1270.83*Escalation!$B$103,Actuals!DC36)</f>
        <v/>
      </c>
      <c r="DC128" s="392">
        <f>IF(ISBLANK(Actuals!DD36),-1270.83*Escalation!$B$104,Actuals!DD36)</f>
        <v/>
      </c>
      <c r="DD128" s="392">
        <f>IF(ISBLANK(Actuals!DE36),-1270.83*Escalation!$B$105,Actuals!DE36)</f>
        <v/>
      </c>
      <c r="DE128" s="392">
        <f>IF(ISBLANK(Actuals!DF36),-1270.83*Escalation!$B$106,Actuals!DF36)</f>
        <v/>
      </c>
    </row>
    <row r="129" ht="15" customFormat="1" customHeight="1" s="380">
      <c r="A129" s="397" t="inlineStr">
        <is>
          <t>5500-1002 Accounting Consulting and Overhead</t>
        </is>
      </c>
      <c r="B129" s="392">
        <f>IF(ISBLANK(Actuals!C37),0,Actuals!C37)</f>
        <v/>
      </c>
      <c r="C129" s="392">
        <f>IF(ISBLANK(Actuals!D37),0,Actuals!D37)</f>
        <v/>
      </c>
      <c r="D129" s="392">
        <f>IF(ISBLANK(Actuals!E37),0,Actuals!E37)</f>
        <v/>
      </c>
      <c r="E129" s="392">
        <f>IF(ISBLANK(Actuals!F37),-5916.33*Escalation!$B$2,Actuals!F37)</f>
        <v/>
      </c>
      <c r="F129" s="392">
        <f>IF(ISBLANK(Actuals!G37),-5916.33*Escalation!$B$3,Actuals!G37)</f>
        <v/>
      </c>
      <c r="G129" s="392">
        <f>IF(ISBLANK(Actuals!H37),-5916.33*Escalation!$B$4,Actuals!H37)</f>
        <v/>
      </c>
      <c r="H129" s="392">
        <f>IF(ISBLANK(Actuals!I37),-5916.33*Escalation!$B$5,Actuals!I37)</f>
        <v/>
      </c>
      <c r="I129" s="392">
        <f>IF(ISBLANK(Actuals!J37),-5916.33*Escalation!$B$6,Actuals!J37)</f>
        <v/>
      </c>
      <c r="J129" s="392">
        <f>IF(ISBLANK(Actuals!K37),-5916.33*Escalation!$B$7,Actuals!K37)</f>
        <v/>
      </c>
      <c r="K129" s="392">
        <f>IF(ISBLANK(Actuals!L37),-5916.33*Escalation!$B$8,Actuals!L37)</f>
        <v/>
      </c>
      <c r="L129" s="392">
        <f>IF(ISBLANK(Actuals!M37),-5916.33*Escalation!$B$9,Actuals!M37)</f>
        <v/>
      </c>
      <c r="M129" s="392">
        <f>IF(ISBLANK(Actuals!N37),-5916.33*Escalation!$B$10,Actuals!N37)</f>
        <v/>
      </c>
      <c r="N129" s="392">
        <f>IF(ISBLANK(Actuals!O37),-5916.33*Escalation!$B$11,Actuals!O37)</f>
        <v/>
      </c>
      <c r="O129" s="392">
        <f>IF(ISBLANK(Actuals!P37),-5916.33*Escalation!$B$12,Actuals!P37)</f>
        <v/>
      </c>
      <c r="P129" s="392">
        <f>IF(ISBLANK(Actuals!Q37),-5916.33*Escalation!$B$13,Actuals!Q37)</f>
        <v/>
      </c>
      <c r="Q129" s="392">
        <f>IF(ISBLANK(Actuals!R37),-5916.33*Escalation!$B$14,Actuals!R37)</f>
        <v/>
      </c>
      <c r="R129" s="392">
        <f>IF(ISBLANK(Actuals!S37),-5916.33*Escalation!$B$15,Actuals!S37)</f>
        <v/>
      </c>
      <c r="S129" s="392">
        <f>IF(ISBLANK(Actuals!T37),-5916.33*Escalation!$B$16,Actuals!T37)</f>
        <v/>
      </c>
      <c r="T129" s="392">
        <f>IF(ISBLANK(Actuals!U37),-5916.33*Escalation!$B$17,Actuals!U37)</f>
        <v/>
      </c>
      <c r="U129" s="392">
        <f>IF(ISBLANK(Actuals!V37),-5916.33*Escalation!$B$18,Actuals!V37)</f>
        <v/>
      </c>
      <c r="V129" s="392">
        <f>IF(ISBLANK(Actuals!W37),-5916.33*Escalation!$B$19,Actuals!W37)</f>
        <v/>
      </c>
      <c r="W129" s="392">
        <f>IF(ISBLANK(Actuals!X37),-5916.33*Escalation!$B$20,Actuals!X37)</f>
        <v/>
      </c>
      <c r="X129" s="392">
        <f>IF(ISBLANK(Actuals!Y37),-5916.33*Escalation!$B$21,Actuals!Y37)</f>
        <v/>
      </c>
      <c r="Y129" s="392">
        <f>IF(ISBLANK(Actuals!Z37),-5916.33*Escalation!$B$22,Actuals!Z37)</f>
        <v/>
      </c>
      <c r="Z129" s="392">
        <f>IF(ISBLANK(Actuals!AA37),-5916.33*Escalation!$B$23,Actuals!AA37)</f>
        <v/>
      </c>
      <c r="AA129" s="392">
        <f>IF(ISBLANK(Actuals!AB37),-5916.33*Escalation!$B$24,Actuals!AB37)</f>
        <v/>
      </c>
      <c r="AB129" s="392">
        <f>IF(ISBLANK(Actuals!AC37),-5916.33*Escalation!$B$25,Actuals!AC37)</f>
        <v/>
      </c>
      <c r="AC129" s="392">
        <f>IF(ISBLANK(Actuals!AD37),-5916.33*Escalation!$B$26,Actuals!AD37)</f>
        <v/>
      </c>
      <c r="AD129" s="392">
        <f>IF(ISBLANK(Actuals!AE37),-5916.33*Escalation!$B$27,Actuals!AE37)</f>
        <v/>
      </c>
      <c r="AE129" s="392">
        <f>IF(ISBLANK(Actuals!AF37),-5916.33*Escalation!$B$28,Actuals!AF37)</f>
        <v/>
      </c>
      <c r="AF129" s="392">
        <f>IF(ISBLANK(Actuals!AG37),-5916.33*Escalation!$B$29,Actuals!AG37)</f>
        <v/>
      </c>
      <c r="AG129" s="392">
        <f>IF(ISBLANK(Actuals!AH37),-5916.33*Escalation!$B$30,Actuals!AH37)</f>
        <v/>
      </c>
      <c r="AH129" s="392">
        <f>IF(ISBLANK(Actuals!AI37),-5916.33*Escalation!$B$31,Actuals!AI37)</f>
        <v/>
      </c>
      <c r="AI129" s="392">
        <f>IF(ISBLANK(Actuals!AJ37),-5916.33*Escalation!$B$32,Actuals!AJ37)</f>
        <v/>
      </c>
      <c r="AJ129" s="392">
        <f>IF(ISBLANK(Actuals!AK37),-5916.33*Escalation!$B$33,Actuals!AK37)</f>
        <v/>
      </c>
      <c r="AK129" s="392">
        <f>IF(ISBLANK(Actuals!AL37),-5916.33*Escalation!$B$34,Actuals!AL37)</f>
        <v/>
      </c>
      <c r="AL129" s="392">
        <f>IF(ISBLANK(Actuals!AM37),-5916.33*Escalation!$B$35,Actuals!AM37)</f>
        <v/>
      </c>
      <c r="AM129" s="392">
        <f>IF(ISBLANK(Actuals!AN37),-5916.33*Escalation!$B$36,Actuals!AN37)</f>
        <v/>
      </c>
      <c r="AN129" s="392">
        <f>IF(ISBLANK(Actuals!AO37),-5916.33*Escalation!$B$37,Actuals!AO37)</f>
        <v/>
      </c>
      <c r="AO129" s="392">
        <f>IF(ISBLANK(Actuals!AP37),-5916.33*Escalation!$B$38,Actuals!AP37)</f>
        <v/>
      </c>
      <c r="AP129" s="392">
        <f>IF(ISBLANK(Actuals!AQ37),-5916.33*Escalation!$B$39,Actuals!AQ37)</f>
        <v/>
      </c>
      <c r="AQ129" s="392">
        <f>IF(ISBLANK(Actuals!AR37),-5916.33*Escalation!$B$40,Actuals!AR37)</f>
        <v/>
      </c>
      <c r="AR129" s="392">
        <f>IF(ISBLANK(Actuals!AS37),-5916.33*Escalation!$B$41,Actuals!AS37)</f>
        <v/>
      </c>
      <c r="AS129" s="392">
        <f>IF(ISBLANK(Actuals!AT37),-5916.33*Escalation!$B$42,Actuals!AT37)</f>
        <v/>
      </c>
      <c r="AT129" s="392">
        <f>IF(ISBLANK(Actuals!AU37),-5916.33*Escalation!$B$43,Actuals!AU37)</f>
        <v/>
      </c>
      <c r="AU129" s="392">
        <f>IF(ISBLANK(Actuals!AV37),-5916.33*Escalation!$B$44,Actuals!AV37)</f>
        <v/>
      </c>
      <c r="AV129" s="392">
        <f>IF(ISBLANK(Actuals!AW37),-5916.33*Escalation!$B$45,Actuals!AW37)</f>
        <v/>
      </c>
      <c r="AW129" s="392">
        <f>IF(ISBLANK(Actuals!AX37),-5916.33*Escalation!$B$46,Actuals!AX37)</f>
        <v/>
      </c>
      <c r="AX129" s="392">
        <f>IF(ISBLANK(Actuals!AY37),-5916.33*Escalation!$B$47,Actuals!AY37)</f>
        <v/>
      </c>
      <c r="AY129" s="392">
        <f>IF(ISBLANK(Actuals!AZ37),-5916.33*Escalation!$B$48,Actuals!AZ37)</f>
        <v/>
      </c>
      <c r="AZ129" s="392">
        <f>IF(ISBLANK(Actuals!BA37),-5916.33*Escalation!$B$49,Actuals!BA37)</f>
        <v/>
      </c>
      <c r="BA129" s="392">
        <f>IF(ISBLANK(Actuals!BB37),-5916.33*Escalation!$B$50,Actuals!BB37)</f>
        <v/>
      </c>
      <c r="BB129" s="392">
        <f>IF(ISBLANK(Actuals!BC37),-5916.33*Escalation!$B$51,Actuals!BC37)</f>
        <v/>
      </c>
      <c r="BC129" s="392">
        <f>IF(ISBLANK(Actuals!BD37),-5916.33*Escalation!$B$52,Actuals!BD37)</f>
        <v/>
      </c>
      <c r="BD129" s="392">
        <f>IF(ISBLANK(Actuals!BE37),-5916.33*Escalation!$B$53,Actuals!BE37)</f>
        <v/>
      </c>
      <c r="BE129" s="392">
        <f>IF(ISBLANK(Actuals!BF37),-5916.33*Escalation!$B$54,Actuals!BF37)</f>
        <v/>
      </c>
      <c r="BF129" s="392">
        <f>IF(ISBLANK(Actuals!BG37),-5916.33*Escalation!$B$55,Actuals!BG37)</f>
        <v/>
      </c>
      <c r="BG129" s="392">
        <f>IF(ISBLANK(Actuals!BH37),-5916.33*Escalation!$B$56,Actuals!BH37)</f>
        <v/>
      </c>
      <c r="BH129" s="392">
        <f>IF(ISBLANK(Actuals!BI37),-5916.33*Escalation!$B$57,Actuals!BI37)</f>
        <v/>
      </c>
      <c r="BI129" s="392">
        <f>IF(ISBLANK(Actuals!BJ37),-5916.33*Escalation!$B$58,Actuals!BJ37)</f>
        <v/>
      </c>
      <c r="BJ129" s="392">
        <f>IF(ISBLANK(Actuals!BK37),-5916.33*Escalation!$B$59,Actuals!BK37)</f>
        <v/>
      </c>
      <c r="BK129" s="392">
        <f>IF(ISBLANK(Actuals!BL37),-5916.33*Escalation!$B$60,Actuals!BL37)</f>
        <v/>
      </c>
      <c r="BL129" s="392">
        <f>IF(ISBLANK(Actuals!BM37),-5916.33*Escalation!$B$61,Actuals!BM37)</f>
        <v/>
      </c>
      <c r="BM129" s="392">
        <f>IF(ISBLANK(Actuals!BN37),-5916.33*Escalation!$B$62,Actuals!BN37)</f>
        <v/>
      </c>
      <c r="BN129" s="392">
        <f>IF(ISBLANK(Actuals!BO37),-5916.33*Escalation!$B$63,Actuals!BO37)</f>
        <v/>
      </c>
      <c r="BO129" s="392">
        <f>IF(ISBLANK(Actuals!BP37),-5916.33*Escalation!$B$64,Actuals!BP37)</f>
        <v/>
      </c>
      <c r="BP129" s="392">
        <f>IF(ISBLANK(Actuals!BQ37),-5916.33*Escalation!$B$65,Actuals!BQ37)</f>
        <v/>
      </c>
      <c r="BQ129" s="392">
        <f>IF(ISBLANK(Actuals!BR37),-5916.33*Escalation!$B$66,Actuals!BR37)</f>
        <v/>
      </c>
      <c r="BR129" s="392">
        <f>IF(ISBLANK(Actuals!BS37),-5916.33*Escalation!$B$67,Actuals!BS37)</f>
        <v/>
      </c>
      <c r="BS129" s="392">
        <f>IF(ISBLANK(Actuals!BT37),-5916.33*Escalation!$B$68,Actuals!BT37)</f>
        <v/>
      </c>
      <c r="BT129" s="392">
        <f>IF(ISBLANK(Actuals!BU37),-5916.33*Escalation!$B$69,Actuals!BU37)</f>
        <v/>
      </c>
      <c r="BU129" s="392">
        <f>IF(ISBLANK(Actuals!BV37),-5916.33*Escalation!$B$70,Actuals!BV37)</f>
        <v/>
      </c>
      <c r="BV129" s="392">
        <f>IF(ISBLANK(Actuals!BW37),-5916.33*Escalation!$B$71,Actuals!BW37)</f>
        <v/>
      </c>
      <c r="BW129" s="392">
        <f>IF(ISBLANK(Actuals!BX37),-5916.33*Escalation!$B$72,Actuals!BX37)</f>
        <v/>
      </c>
      <c r="BX129" s="392">
        <f>IF(ISBLANK(Actuals!BY37),-5916.33*Escalation!$B$73,Actuals!BY37)</f>
        <v/>
      </c>
      <c r="BY129" s="392">
        <f>IF(ISBLANK(Actuals!BZ37),-5916.33*Escalation!$B$74,Actuals!BZ37)</f>
        <v/>
      </c>
      <c r="BZ129" s="392">
        <f>IF(ISBLANK(Actuals!CA37),-5916.33*Escalation!$B$75,Actuals!CA37)</f>
        <v/>
      </c>
      <c r="CA129" s="392">
        <f>IF(ISBLANK(Actuals!CB37),-5916.33*Escalation!$B$76,Actuals!CB37)</f>
        <v/>
      </c>
      <c r="CB129" s="392">
        <f>IF(ISBLANK(Actuals!CC37),-5916.33*Escalation!$B$77,Actuals!CC37)</f>
        <v/>
      </c>
      <c r="CC129" s="392">
        <f>IF(ISBLANK(Actuals!CD37),-5916.33*Escalation!$B$78,Actuals!CD37)</f>
        <v/>
      </c>
      <c r="CD129" s="392">
        <f>IF(ISBLANK(Actuals!CE37),-5916.33*Escalation!$B$79,Actuals!CE37)</f>
        <v/>
      </c>
      <c r="CE129" s="392">
        <f>IF(ISBLANK(Actuals!CF37),-5916.33*Escalation!$B$80,Actuals!CF37)</f>
        <v/>
      </c>
      <c r="CF129" s="392">
        <f>IF(ISBLANK(Actuals!CG37),-5916.33*Escalation!$B$81,Actuals!CG37)</f>
        <v/>
      </c>
      <c r="CG129" s="392">
        <f>IF(ISBLANK(Actuals!CH37),-5916.33*Escalation!$B$82,Actuals!CH37)</f>
        <v/>
      </c>
      <c r="CH129" s="392">
        <f>IF(ISBLANK(Actuals!CI37),-5916.33*Escalation!$B$83,Actuals!CI37)</f>
        <v/>
      </c>
      <c r="CI129" s="392">
        <f>IF(ISBLANK(Actuals!CJ37),-5916.33*Escalation!$B$84,Actuals!CJ37)</f>
        <v/>
      </c>
      <c r="CJ129" s="392">
        <f>IF(ISBLANK(Actuals!CK37),-5916.33*Escalation!$B$85,Actuals!CK37)</f>
        <v/>
      </c>
      <c r="CK129" s="392">
        <f>IF(ISBLANK(Actuals!CL37),-5916.33*Escalation!$B$86,Actuals!CL37)</f>
        <v/>
      </c>
      <c r="CL129" s="392">
        <f>IF(ISBLANK(Actuals!CM37),-5916.33*Escalation!$B$87,Actuals!CM37)</f>
        <v/>
      </c>
      <c r="CM129" s="392">
        <f>IF(ISBLANK(Actuals!CN37),-5916.33*Escalation!$B$88,Actuals!CN37)</f>
        <v/>
      </c>
      <c r="CN129" s="392">
        <f>IF(ISBLANK(Actuals!CO37),-5916.33*Escalation!$B$89,Actuals!CO37)</f>
        <v/>
      </c>
      <c r="CO129" s="392">
        <f>IF(ISBLANK(Actuals!CP37),-5916.33*Escalation!$B$90,Actuals!CP37)</f>
        <v/>
      </c>
      <c r="CP129" s="392">
        <f>IF(ISBLANK(Actuals!CQ37),-5916.33*Escalation!$B$91,Actuals!CQ37)</f>
        <v/>
      </c>
      <c r="CQ129" s="392">
        <f>IF(ISBLANK(Actuals!CR37),-5916.33*Escalation!$B$92,Actuals!CR37)</f>
        <v/>
      </c>
      <c r="CR129" s="392">
        <f>IF(ISBLANK(Actuals!CS37),-5916.33*Escalation!$B$93,Actuals!CS37)</f>
        <v/>
      </c>
      <c r="CS129" s="392">
        <f>IF(ISBLANK(Actuals!CT37),-5916.33*Escalation!$B$94,Actuals!CT37)</f>
        <v/>
      </c>
      <c r="CT129" s="392">
        <f>IF(ISBLANK(Actuals!CU37),-5916.33*Escalation!$B$95,Actuals!CU37)</f>
        <v/>
      </c>
      <c r="CU129" s="392">
        <f>IF(ISBLANK(Actuals!CV37),-5916.33*Escalation!$B$96,Actuals!CV37)</f>
        <v/>
      </c>
      <c r="CV129" s="392">
        <f>IF(ISBLANK(Actuals!CW37),-5916.33*Escalation!$B$97,Actuals!CW37)</f>
        <v/>
      </c>
      <c r="CW129" s="392">
        <f>IF(ISBLANK(Actuals!CX37),-5916.33*Escalation!$B$98,Actuals!CX37)</f>
        <v/>
      </c>
      <c r="CX129" s="392">
        <f>IF(ISBLANK(Actuals!CY37),-5916.33*Escalation!$B$99,Actuals!CY37)</f>
        <v/>
      </c>
      <c r="CY129" s="392">
        <f>IF(ISBLANK(Actuals!CZ37),-5916.33*Escalation!$B$100,Actuals!CZ37)</f>
        <v/>
      </c>
      <c r="CZ129" s="392">
        <f>IF(ISBLANK(Actuals!DA37),-5916.33*Escalation!$B$101,Actuals!DA37)</f>
        <v/>
      </c>
      <c r="DA129" s="392">
        <f>IF(ISBLANK(Actuals!DB37),-5916.33*Escalation!$B$102,Actuals!DB37)</f>
        <v/>
      </c>
      <c r="DB129" s="392">
        <f>IF(ISBLANK(Actuals!DC37),-5916.33*Escalation!$B$103,Actuals!DC37)</f>
        <v/>
      </c>
      <c r="DC129" s="392">
        <f>IF(ISBLANK(Actuals!DD37),-5916.33*Escalation!$B$104,Actuals!DD37)</f>
        <v/>
      </c>
      <c r="DD129" s="392">
        <f>IF(ISBLANK(Actuals!DE37),-5916.33*Escalation!$B$105,Actuals!DE37)</f>
        <v/>
      </c>
      <c r="DE129" s="392">
        <f>IF(ISBLANK(Actuals!DF37),-5916.33*Escalation!$B$106,Actuals!DF37)</f>
        <v/>
      </c>
    </row>
    <row r="130" ht="15" customFormat="1" customHeight="1" s="380">
      <c r="A130" s="397" t="inlineStr">
        <is>
          <t>5500-1004 Consultants and Other Professional Expenses</t>
        </is>
      </c>
      <c r="B130" s="392">
        <f>IF(ISBLANK(Actuals!C38),0,Actuals!C38)</f>
        <v/>
      </c>
      <c r="C130" s="392">
        <f>IF(ISBLANK(Actuals!D38),0,Actuals!D38)</f>
        <v/>
      </c>
      <c r="D130" s="392">
        <f>IF(ISBLANK(Actuals!E38),0,Actuals!E38)</f>
        <v/>
      </c>
      <c r="E130" s="392">
        <f>IF(ISBLANK(Actuals!F38),-250.13*Escalation!$B$2,Actuals!F38)</f>
        <v/>
      </c>
      <c r="F130" s="392">
        <f>IF(ISBLANK(Actuals!G38),-250.13*Escalation!$B$3,Actuals!G38)</f>
        <v/>
      </c>
      <c r="G130" s="392">
        <f>IF(ISBLANK(Actuals!H38),-250.13*Escalation!$B$4,Actuals!H38)</f>
        <v/>
      </c>
      <c r="H130" s="392">
        <f>IF(ISBLANK(Actuals!I38),-250.13*Escalation!$B$5,Actuals!I38)</f>
        <v/>
      </c>
      <c r="I130" s="392">
        <f>IF(ISBLANK(Actuals!J38),-250.13*Escalation!$B$6,Actuals!J38)</f>
        <v/>
      </c>
      <c r="J130" s="392">
        <f>IF(ISBLANK(Actuals!K38),-250.13*Escalation!$B$7,Actuals!K38)</f>
        <v/>
      </c>
      <c r="K130" s="392">
        <f>IF(ISBLANK(Actuals!L38),-250.13*Escalation!$B$8,Actuals!L38)</f>
        <v/>
      </c>
      <c r="L130" s="392">
        <f>IF(ISBLANK(Actuals!M38),-250.13*Escalation!$B$9,Actuals!M38)</f>
        <v/>
      </c>
      <c r="M130" s="392">
        <f>IF(ISBLANK(Actuals!N38),-250.13*Escalation!$B$10,Actuals!N38)</f>
        <v/>
      </c>
      <c r="N130" s="392">
        <f>IF(ISBLANK(Actuals!O38),-250.13*Escalation!$B$11,Actuals!O38)</f>
        <v/>
      </c>
      <c r="O130" s="392">
        <f>IF(ISBLANK(Actuals!P38),-250.13*Escalation!$B$12,Actuals!P38)</f>
        <v/>
      </c>
      <c r="P130" s="392">
        <f>IF(ISBLANK(Actuals!Q38),-250.13*Escalation!$B$13,Actuals!Q38)</f>
        <v/>
      </c>
      <c r="Q130" s="392">
        <f>IF(ISBLANK(Actuals!R38),-250.13*Escalation!$B$14,Actuals!R38)</f>
        <v/>
      </c>
      <c r="R130" s="392">
        <f>IF(ISBLANK(Actuals!S38),-250.13*Escalation!$B$15,Actuals!S38)</f>
        <v/>
      </c>
      <c r="S130" s="392">
        <f>IF(ISBLANK(Actuals!T38),-250.13*Escalation!$B$16,Actuals!T38)</f>
        <v/>
      </c>
      <c r="T130" s="392">
        <f>IF(ISBLANK(Actuals!U38),-250.13*Escalation!$B$17,Actuals!U38)</f>
        <v/>
      </c>
      <c r="U130" s="392">
        <f>IF(ISBLANK(Actuals!V38),-250.13*Escalation!$B$18,Actuals!V38)</f>
        <v/>
      </c>
      <c r="V130" s="392">
        <f>IF(ISBLANK(Actuals!W38),-250.13*Escalation!$B$19,Actuals!W38)</f>
        <v/>
      </c>
      <c r="W130" s="392">
        <f>IF(ISBLANK(Actuals!X38),-250.13*Escalation!$B$20,Actuals!X38)</f>
        <v/>
      </c>
      <c r="X130" s="392">
        <f>IF(ISBLANK(Actuals!Y38),-250.13*Escalation!$B$21,Actuals!Y38)</f>
        <v/>
      </c>
      <c r="Y130" s="392">
        <f>IF(ISBLANK(Actuals!Z38),-250.13*Escalation!$B$22,Actuals!Z38)</f>
        <v/>
      </c>
      <c r="Z130" s="392">
        <f>IF(ISBLANK(Actuals!AA38),-250.13*Escalation!$B$23,Actuals!AA38)</f>
        <v/>
      </c>
      <c r="AA130" s="392">
        <f>IF(ISBLANK(Actuals!AB38),-250.13*Escalation!$B$24,Actuals!AB38)</f>
        <v/>
      </c>
      <c r="AB130" s="392">
        <f>IF(ISBLANK(Actuals!AC38),-250.13*Escalation!$B$25,Actuals!AC38)</f>
        <v/>
      </c>
      <c r="AC130" s="392">
        <f>IF(ISBLANK(Actuals!AD38),-250.13*Escalation!$B$26,Actuals!AD38)</f>
        <v/>
      </c>
      <c r="AD130" s="392">
        <f>IF(ISBLANK(Actuals!AE38),-250.13*Escalation!$B$27,Actuals!AE38)</f>
        <v/>
      </c>
      <c r="AE130" s="392">
        <f>IF(ISBLANK(Actuals!AF38),-250.13*Escalation!$B$28,Actuals!AF38)</f>
        <v/>
      </c>
      <c r="AF130" s="392">
        <f>IF(ISBLANK(Actuals!AG38),-250.13*Escalation!$B$29,Actuals!AG38)</f>
        <v/>
      </c>
      <c r="AG130" s="392">
        <f>IF(ISBLANK(Actuals!AH38),-250.13*Escalation!$B$30,Actuals!AH38)</f>
        <v/>
      </c>
      <c r="AH130" s="392">
        <f>IF(ISBLANK(Actuals!AI38),-250.13*Escalation!$B$31,Actuals!AI38)</f>
        <v/>
      </c>
      <c r="AI130" s="392">
        <f>IF(ISBLANK(Actuals!AJ38),-250.13*Escalation!$B$32,Actuals!AJ38)</f>
        <v/>
      </c>
      <c r="AJ130" s="392">
        <f>IF(ISBLANK(Actuals!AK38),-250.13*Escalation!$B$33,Actuals!AK38)</f>
        <v/>
      </c>
      <c r="AK130" s="392">
        <f>IF(ISBLANK(Actuals!AL38),-250.13*Escalation!$B$34,Actuals!AL38)</f>
        <v/>
      </c>
      <c r="AL130" s="392">
        <f>IF(ISBLANK(Actuals!AM38),-250.13*Escalation!$B$35,Actuals!AM38)</f>
        <v/>
      </c>
      <c r="AM130" s="392">
        <f>IF(ISBLANK(Actuals!AN38),-250.13*Escalation!$B$36,Actuals!AN38)</f>
        <v/>
      </c>
      <c r="AN130" s="392">
        <f>IF(ISBLANK(Actuals!AO38),-250.13*Escalation!$B$37,Actuals!AO38)</f>
        <v/>
      </c>
      <c r="AO130" s="392">
        <f>IF(ISBLANK(Actuals!AP38),-250.13*Escalation!$B$38,Actuals!AP38)</f>
        <v/>
      </c>
      <c r="AP130" s="392">
        <f>IF(ISBLANK(Actuals!AQ38),-250.13*Escalation!$B$39,Actuals!AQ38)</f>
        <v/>
      </c>
      <c r="AQ130" s="392">
        <f>IF(ISBLANK(Actuals!AR38),-250.13*Escalation!$B$40,Actuals!AR38)</f>
        <v/>
      </c>
      <c r="AR130" s="392">
        <f>IF(ISBLANK(Actuals!AS38),-250.13*Escalation!$B$41,Actuals!AS38)</f>
        <v/>
      </c>
      <c r="AS130" s="392">
        <f>IF(ISBLANK(Actuals!AT38),-250.13*Escalation!$B$42,Actuals!AT38)</f>
        <v/>
      </c>
      <c r="AT130" s="392">
        <f>IF(ISBLANK(Actuals!AU38),-250.13*Escalation!$B$43,Actuals!AU38)</f>
        <v/>
      </c>
      <c r="AU130" s="392">
        <f>IF(ISBLANK(Actuals!AV38),-250.13*Escalation!$B$44,Actuals!AV38)</f>
        <v/>
      </c>
      <c r="AV130" s="392">
        <f>IF(ISBLANK(Actuals!AW38),-250.13*Escalation!$B$45,Actuals!AW38)</f>
        <v/>
      </c>
      <c r="AW130" s="392">
        <f>IF(ISBLANK(Actuals!AX38),-250.13*Escalation!$B$46,Actuals!AX38)</f>
        <v/>
      </c>
      <c r="AX130" s="392">
        <f>IF(ISBLANK(Actuals!AY38),-250.13*Escalation!$B$47,Actuals!AY38)</f>
        <v/>
      </c>
      <c r="AY130" s="392">
        <f>IF(ISBLANK(Actuals!AZ38),-250.13*Escalation!$B$48,Actuals!AZ38)</f>
        <v/>
      </c>
      <c r="AZ130" s="392">
        <f>IF(ISBLANK(Actuals!BA38),-250.13*Escalation!$B$49,Actuals!BA38)</f>
        <v/>
      </c>
      <c r="BA130" s="392">
        <f>IF(ISBLANK(Actuals!BB38),-250.13*Escalation!$B$50,Actuals!BB38)</f>
        <v/>
      </c>
      <c r="BB130" s="392">
        <f>IF(ISBLANK(Actuals!BC38),-250.13*Escalation!$B$51,Actuals!BC38)</f>
        <v/>
      </c>
      <c r="BC130" s="392">
        <f>IF(ISBLANK(Actuals!BD38),-250.13*Escalation!$B$52,Actuals!BD38)</f>
        <v/>
      </c>
      <c r="BD130" s="392">
        <f>IF(ISBLANK(Actuals!BE38),-250.13*Escalation!$B$53,Actuals!BE38)</f>
        <v/>
      </c>
      <c r="BE130" s="392">
        <f>IF(ISBLANK(Actuals!BF38),-250.13*Escalation!$B$54,Actuals!BF38)</f>
        <v/>
      </c>
      <c r="BF130" s="392">
        <f>IF(ISBLANK(Actuals!BG38),-250.13*Escalation!$B$55,Actuals!BG38)</f>
        <v/>
      </c>
      <c r="BG130" s="392">
        <f>IF(ISBLANK(Actuals!BH38),-250.13*Escalation!$B$56,Actuals!BH38)</f>
        <v/>
      </c>
      <c r="BH130" s="392">
        <f>IF(ISBLANK(Actuals!BI38),-250.13*Escalation!$B$57,Actuals!BI38)</f>
        <v/>
      </c>
      <c r="BI130" s="392">
        <f>IF(ISBLANK(Actuals!BJ38),-250.13*Escalation!$B$58,Actuals!BJ38)</f>
        <v/>
      </c>
      <c r="BJ130" s="392">
        <f>IF(ISBLANK(Actuals!BK38),-250.13*Escalation!$B$59,Actuals!BK38)</f>
        <v/>
      </c>
      <c r="BK130" s="392">
        <f>IF(ISBLANK(Actuals!BL38),-250.13*Escalation!$B$60,Actuals!BL38)</f>
        <v/>
      </c>
      <c r="BL130" s="392">
        <f>IF(ISBLANK(Actuals!BM38),-250.13*Escalation!$B$61,Actuals!BM38)</f>
        <v/>
      </c>
      <c r="BM130" s="392">
        <f>IF(ISBLANK(Actuals!BN38),-250.13*Escalation!$B$62,Actuals!BN38)</f>
        <v/>
      </c>
      <c r="BN130" s="392">
        <f>IF(ISBLANK(Actuals!BO38),-250.13*Escalation!$B$63,Actuals!BO38)</f>
        <v/>
      </c>
      <c r="BO130" s="392">
        <f>IF(ISBLANK(Actuals!BP38),-250.13*Escalation!$B$64,Actuals!BP38)</f>
        <v/>
      </c>
      <c r="BP130" s="392">
        <f>IF(ISBLANK(Actuals!BQ38),-250.13*Escalation!$B$65,Actuals!BQ38)</f>
        <v/>
      </c>
      <c r="BQ130" s="392">
        <f>IF(ISBLANK(Actuals!BR38),-250.13*Escalation!$B$66,Actuals!BR38)</f>
        <v/>
      </c>
      <c r="BR130" s="392">
        <f>IF(ISBLANK(Actuals!BS38),-250.13*Escalation!$B$67,Actuals!BS38)</f>
        <v/>
      </c>
      <c r="BS130" s="392">
        <f>IF(ISBLANK(Actuals!BT38),-250.13*Escalation!$B$68,Actuals!BT38)</f>
        <v/>
      </c>
      <c r="BT130" s="392">
        <f>IF(ISBLANK(Actuals!BU38),-250.13*Escalation!$B$69,Actuals!BU38)</f>
        <v/>
      </c>
      <c r="BU130" s="392">
        <f>IF(ISBLANK(Actuals!BV38),-250.13*Escalation!$B$70,Actuals!BV38)</f>
        <v/>
      </c>
      <c r="BV130" s="392">
        <f>IF(ISBLANK(Actuals!BW38),-250.13*Escalation!$B$71,Actuals!BW38)</f>
        <v/>
      </c>
      <c r="BW130" s="392">
        <f>IF(ISBLANK(Actuals!BX38),-250.13*Escalation!$B$72,Actuals!BX38)</f>
        <v/>
      </c>
      <c r="BX130" s="392">
        <f>IF(ISBLANK(Actuals!BY38),-250.13*Escalation!$B$73,Actuals!BY38)</f>
        <v/>
      </c>
      <c r="BY130" s="392">
        <f>IF(ISBLANK(Actuals!BZ38),-250.13*Escalation!$B$74,Actuals!BZ38)</f>
        <v/>
      </c>
      <c r="BZ130" s="392">
        <f>IF(ISBLANK(Actuals!CA38),-250.13*Escalation!$B$75,Actuals!CA38)</f>
        <v/>
      </c>
      <c r="CA130" s="392">
        <f>IF(ISBLANK(Actuals!CB38),-250.13*Escalation!$B$76,Actuals!CB38)</f>
        <v/>
      </c>
      <c r="CB130" s="392">
        <f>IF(ISBLANK(Actuals!CC38),-250.13*Escalation!$B$77,Actuals!CC38)</f>
        <v/>
      </c>
      <c r="CC130" s="392">
        <f>IF(ISBLANK(Actuals!CD38),-250.13*Escalation!$B$78,Actuals!CD38)</f>
        <v/>
      </c>
      <c r="CD130" s="392">
        <f>IF(ISBLANK(Actuals!CE38),-250.13*Escalation!$B$79,Actuals!CE38)</f>
        <v/>
      </c>
      <c r="CE130" s="392">
        <f>IF(ISBLANK(Actuals!CF38),-250.13*Escalation!$B$80,Actuals!CF38)</f>
        <v/>
      </c>
      <c r="CF130" s="392">
        <f>IF(ISBLANK(Actuals!CG38),-250.13*Escalation!$B$81,Actuals!CG38)</f>
        <v/>
      </c>
      <c r="CG130" s="392">
        <f>IF(ISBLANK(Actuals!CH38),-250.13*Escalation!$B$82,Actuals!CH38)</f>
        <v/>
      </c>
      <c r="CH130" s="392">
        <f>IF(ISBLANK(Actuals!CI38),-250.13*Escalation!$B$83,Actuals!CI38)</f>
        <v/>
      </c>
      <c r="CI130" s="392">
        <f>IF(ISBLANK(Actuals!CJ38),-250.13*Escalation!$B$84,Actuals!CJ38)</f>
        <v/>
      </c>
      <c r="CJ130" s="392">
        <f>IF(ISBLANK(Actuals!CK38),-250.13*Escalation!$B$85,Actuals!CK38)</f>
        <v/>
      </c>
      <c r="CK130" s="392">
        <f>IF(ISBLANK(Actuals!CL38),-250.13*Escalation!$B$86,Actuals!CL38)</f>
        <v/>
      </c>
      <c r="CL130" s="392">
        <f>IF(ISBLANK(Actuals!CM38),-250.13*Escalation!$B$87,Actuals!CM38)</f>
        <v/>
      </c>
      <c r="CM130" s="392">
        <f>IF(ISBLANK(Actuals!CN38),-250.13*Escalation!$B$88,Actuals!CN38)</f>
        <v/>
      </c>
      <c r="CN130" s="392">
        <f>IF(ISBLANK(Actuals!CO38),-250.13*Escalation!$B$89,Actuals!CO38)</f>
        <v/>
      </c>
      <c r="CO130" s="392">
        <f>IF(ISBLANK(Actuals!CP38),-250.13*Escalation!$B$90,Actuals!CP38)</f>
        <v/>
      </c>
      <c r="CP130" s="392">
        <f>IF(ISBLANK(Actuals!CQ38),-250.13*Escalation!$B$91,Actuals!CQ38)</f>
        <v/>
      </c>
      <c r="CQ130" s="392">
        <f>IF(ISBLANK(Actuals!CR38),-250.13*Escalation!$B$92,Actuals!CR38)</f>
        <v/>
      </c>
      <c r="CR130" s="392">
        <f>IF(ISBLANK(Actuals!CS38),-250.13*Escalation!$B$93,Actuals!CS38)</f>
        <v/>
      </c>
      <c r="CS130" s="392">
        <f>IF(ISBLANK(Actuals!CT38),-250.13*Escalation!$B$94,Actuals!CT38)</f>
        <v/>
      </c>
      <c r="CT130" s="392">
        <f>IF(ISBLANK(Actuals!CU38),-250.13*Escalation!$B$95,Actuals!CU38)</f>
        <v/>
      </c>
      <c r="CU130" s="392">
        <f>IF(ISBLANK(Actuals!CV38),-250.13*Escalation!$B$96,Actuals!CV38)</f>
        <v/>
      </c>
      <c r="CV130" s="392">
        <f>IF(ISBLANK(Actuals!CW38),-250.13*Escalation!$B$97,Actuals!CW38)</f>
        <v/>
      </c>
      <c r="CW130" s="392">
        <f>IF(ISBLANK(Actuals!CX38),-250.13*Escalation!$B$98,Actuals!CX38)</f>
        <v/>
      </c>
      <c r="CX130" s="392">
        <f>IF(ISBLANK(Actuals!CY38),-250.13*Escalation!$B$99,Actuals!CY38)</f>
        <v/>
      </c>
      <c r="CY130" s="392">
        <f>IF(ISBLANK(Actuals!CZ38),-250.13*Escalation!$B$100,Actuals!CZ38)</f>
        <v/>
      </c>
      <c r="CZ130" s="392">
        <f>IF(ISBLANK(Actuals!DA38),-250.13*Escalation!$B$101,Actuals!DA38)</f>
        <v/>
      </c>
      <c r="DA130" s="392">
        <f>IF(ISBLANK(Actuals!DB38),-250.13*Escalation!$B$102,Actuals!DB38)</f>
        <v/>
      </c>
      <c r="DB130" s="392">
        <f>IF(ISBLANK(Actuals!DC38),-250.13*Escalation!$B$103,Actuals!DC38)</f>
        <v/>
      </c>
      <c r="DC130" s="392">
        <f>IF(ISBLANK(Actuals!DD38),-250.13*Escalation!$B$104,Actuals!DD38)</f>
        <v/>
      </c>
      <c r="DD130" s="392">
        <f>IF(ISBLANK(Actuals!DE38),-250.13*Escalation!$B$105,Actuals!DE38)</f>
        <v/>
      </c>
      <c r="DE130" s="392">
        <f>IF(ISBLANK(Actuals!DF38),-250.13*Escalation!$B$106,Actuals!DF38)</f>
        <v/>
      </c>
    </row>
    <row r="131" ht="15" customFormat="1" customHeight="1" s="380">
      <c r="A131" s="397" t="inlineStr">
        <is>
          <t>5500-1050 General Insurance</t>
        </is>
      </c>
      <c r="B131" s="392">
        <f>IF(ISBLANK(Actuals!C39),0,Actuals!C39)</f>
        <v/>
      </c>
      <c r="C131" s="392">
        <f>IF(ISBLANK(Actuals!D39),0,Actuals!D39)</f>
        <v/>
      </c>
      <c r="D131" s="392">
        <f>IF(ISBLANK(Actuals!E39),0,Actuals!E39)</f>
        <v/>
      </c>
      <c r="E131" s="392">
        <f>IF(ISBLANK(Actuals!F39),-1750.91*Escalation!$B$2,Actuals!F39)</f>
        <v/>
      </c>
      <c r="F131" s="392">
        <f>IF(ISBLANK(Actuals!G39),-1750.91*Escalation!$B$3,Actuals!G39)</f>
        <v/>
      </c>
      <c r="G131" s="392">
        <f>IF(ISBLANK(Actuals!H39),-1750.91*Escalation!$B$4,Actuals!H39)</f>
        <v/>
      </c>
      <c r="H131" s="392">
        <f>IF(ISBLANK(Actuals!I39),-1750.91*Escalation!$B$5,Actuals!I39)</f>
        <v/>
      </c>
      <c r="I131" s="392">
        <f>IF(ISBLANK(Actuals!J39),-1750.91*Escalation!$B$6,Actuals!J39)</f>
        <v/>
      </c>
      <c r="J131" s="392">
        <f>IF(ISBLANK(Actuals!K39),-1750.91*Escalation!$B$7,Actuals!K39)</f>
        <v/>
      </c>
      <c r="K131" s="392">
        <f>IF(ISBLANK(Actuals!L39),-1750.91*Escalation!$B$8,Actuals!L39)</f>
        <v/>
      </c>
      <c r="L131" s="392">
        <f>IF(ISBLANK(Actuals!M39),-1750.91*Escalation!$B$9,Actuals!M39)</f>
        <v/>
      </c>
      <c r="M131" s="392">
        <f>IF(ISBLANK(Actuals!N39),-1750.91*Escalation!$B$10,Actuals!N39)</f>
        <v/>
      </c>
      <c r="N131" s="392">
        <f>IF(ISBLANK(Actuals!O39),-1750.91*Escalation!$B$11,Actuals!O39)</f>
        <v/>
      </c>
      <c r="O131" s="392">
        <f>IF(ISBLANK(Actuals!P39),-1750.91*Escalation!$B$12,Actuals!P39)</f>
        <v/>
      </c>
      <c r="P131" s="392">
        <f>IF(ISBLANK(Actuals!Q39),-1750.91*Escalation!$B$13,Actuals!Q39)</f>
        <v/>
      </c>
      <c r="Q131" s="392">
        <f>IF(ISBLANK(Actuals!R39),-1750.91*Escalation!$B$14,Actuals!R39)</f>
        <v/>
      </c>
      <c r="R131" s="392">
        <f>IF(ISBLANK(Actuals!S39),-1750.91*Escalation!$B$15,Actuals!S39)</f>
        <v/>
      </c>
      <c r="S131" s="392">
        <f>IF(ISBLANK(Actuals!T39),-1750.91*Escalation!$B$16,Actuals!T39)</f>
        <v/>
      </c>
      <c r="T131" s="392">
        <f>IF(ISBLANK(Actuals!U39),-1750.91*Escalation!$B$17,Actuals!U39)</f>
        <v/>
      </c>
      <c r="U131" s="392">
        <f>IF(ISBLANK(Actuals!V39),-1750.91*Escalation!$B$18,Actuals!V39)</f>
        <v/>
      </c>
      <c r="V131" s="392">
        <f>IF(ISBLANK(Actuals!W39),-1750.91*Escalation!$B$19,Actuals!W39)</f>
        <v/>
      </c>
      <c r="W131" s="392">
        <f>IF(ISBLANK(Actuals!X39),-1750.91*Escalation!$B$20,Actuals!X39)</f>
        <v/>
      </c>
      <c r="X131" s="392">
        <f>IF(ISBLANK(Actuals!Y39),-1750.91*Escalation!$B$21,Actuals!Y39)</f>
        <v/>
      </c>
      <c r="Y131" s="392">
        <f>IF(ISBLANK(Actuals!Z39),-1750.91*Escalation!$B$22,Actuals!Z39)</f>
        <v/>
      </c>
      <c r="Z131" s="392">
        <f>IF(ISBLANK(Actuals!AA39),-1750.91*Escalation!$B$23,Actuals!AA39)</f>
        <v/>
      </c>
      <c r="AA131" s="392">
        <f>IF(ISBLANK(Actuals!AB39),-1750.91*Escalation!$B$24,Actuals!AB39)</f>
        <v/>
      </c>
      <c r="AB131" s="392">
        <f>IF(ISBLANK(Actuals!AC39),-1750.91*Escalation!$B$25,Actuals!AC39)</f>
        <v/>
      </c>
      <c r="AC131" s="392">
        <f>IF(ISBLANK(Actuals!AD39),-1750.91*Escalation!$B$26,Actuals!AD39)</f>
        <v/>
      </c>
      <c r="AD131" s="392">
        <f>IF(ISBLANK(Actuals!AE39),-1750.91*Escalation!$B$27,Actuals!AE39)</f>
        <v/>
      </c>
      <c r="AE131" s="392">
        <f>IF(ISBLANK(Actuals!AF39),-1750.91*Escalation!$B$28,Actuals!AF39)</f>
        <v/>
      </c>
      <c r="AF131" s="392">
        <f>IF(ISBLANK(Actuals!AG39),-1750.91*Escalation!$B$29,Actuals!AG39)</f>
        <v/>
      </c>
      <c r="AG131" s="392">
        <f>IF(ISBLANK(Actuals!AH39),-1750.91*Escalation!$B$30,Actuals!AH39)</f>
        <v/>
      </c>
      <c r="AH131" s="392">
        <f>IF(ISBLANK(Actuals!AI39),-1750.91*Escalation!$B$31,Actuals!AI39)</f>
        <v/>
      </c>
      <c r="AI131" s="392">
        <f>IF(ISBLANK(Actuals!AJ39),-1750.91*Escalation!$B$32,Actuals!AJ39)</f>
        <v/>
      </c>
      <c r="AJ131" s="392">
        <f>IF(ISBLANK(Actuals!AK39),-1750.91*Escalation!$B$33,Actuals!AK39)</f>
        <v/>
      </c>
      <c r="AK131" s="392">
        <f>IF(ISBLANK(Actuals!AL39),-1750.91*Escalation!$B$34,Actuals!AL39)</f>
        <v/>
      </c>
      <c r="AL131" s="392">
        <f>IF(ISBLANK(Actuals!AM39),-1750.91*Escalation!$B$35,Actuals!AM39)</f>
        <v/>
      </c>
      <c r="AM131" s="392">
        <f>IF(ISBLANK(Actuals!AN39),-1750.91*Escalation!$B$36,Actuals!AN39)</f>
        <v/>
      </c>
      <c r="AN131" s="392">
        <f>IF(ISBLANK(Actuals!AO39),-1750.91*Escalation!$B$37,Actuals!AO39)</f>
        <v/>
      </c>
      <c r="AO131" s="392">
        <f>IF(ISBLANK(Actuals!AP39),-1750.91*Escalation!$B$38,Actuals!AP39)</f>
        <v/>
      </c>
      <c r="AP131" s="392">
        <f>IF(ISBLANK(Actuals!AQ39),-1750.91*Escalation!$B$39,Actuals!AQ39)</f>
        <v/>
      </c>
      <c r="AQ131" s="392">
        <f>IF(ISBLANK(Actuals!AR39),-1750.91*Escalation!$B$40,Actuals!AR39)</f>
        <v/>
      </c>
      <c r="AR131" s="392">
        <f>IF(ISBLANK(Actuals!AS39),-1750.91*Escalation!$B$41,Actuals!AS39)</f>
        <v/>
      </c>
      <c r="AS131" s="392">
        <f>IF(ISBLANK(Actuals!AT39),-1750.91*Escalation!$B$42,Actuals!AT39)</f>
        <v/>
      </c>
      <c r="AT131" s="392">
        <f>IF(ISBLANK(Actuals!AU39),-1750.91*Escalation!$B$43,Actuals!AU39)</f>
        <v/>
      </c>
      <c r="AU131" s="392">
        <f>IF(ISBLANK(Actuals!AV39),-1750.91*Escalation!$B$44,Actuals!AV39)</f>
        <v/>
      </c>
      <c r="AV131" s="392">
        <f>IF(ISBLANK(Actuals!AW39),-1750.91*Escalation!$B$45,Actuals!AW39)</f>
        <v/>
      </c>
      <c r="AW131" s="392">
        <f>IF(ISBLANK(Actuals!AX39),-1750.91*Escalation!$B$46,Actuals!AX39)</f>
        <v/>
      </c>
      <c r="AX131" s="392">
        <f>IF(ISBLANK(Actuals!AY39),-1750.91*Escalation!$B$47,Actuals!AY39)</f>
        <v/>
      </c>
      <c r="AY131" s="392">
        <f>IF(ISBLANK(Actuals!AZ39),-1750.91*Escalation!$B$48,Actuals!AZ39)</f>
        <v/>
      </c>
      <c r="AZ131" s="392">
        <f>IF(ISBLANK(Actuals!BA39),-1750.91*Escalation!$B$49,Actuals!BA39)</f>
        <v/>
      </c>
      <c r="BA131" s="392">
        <f>IF(ISBLANK(Actuals!BB39),-1750.91*Escalation!$B$50,Actuals!BB39)</f>
        <v/>
      </c>
      <c r="BB131" s="392">
        <f>IF(ISBLANK(Actuals!BC39),-1750.91*Escalation!$B$51,Actuals!BC39)</f>
        <v/>
      </c>
      <c r="BC131" s="392">
        <f>IF(ISBLANK(Actuals!BD39),-1750.91*Escalation!$B$52,Actuals!BD39)</f>
        <v/>
      </c>
      <c r="BD131" s="392">
        <f>IF(ISBLANK(Actuals!BE39),-1750.91*Escalation!$B$53,Actuals!BE39)</f>
        <v/>
      </c>
      <c r="BE131" s="392">
        <f>IF(ISBLANK(Actuals!BF39),-1750.91*Escalation!$B$54,Actuals!BF39)</f>
        <v/>
      </c>
      <c r="BF131" s="392">
        <f>IF(ISBLANK(Actuals!BG39),-1750.91*Escalation!$B$55,Actuals!BG39)</f>
        <v/>
      </c>
      <c r="BG131" s="392">
        <f>IF(ISBLANK(Actuals!BH39),-1750.91*Escalation!$B$56,Actuals!BH39)</f>
        <v/>
      </c>
      <c r="BH131" s="392">
        <f>IF(ISBLANK(Actuals!BI39),-1750.91*Escalation!$B$57,Actuals!BI39)</f>
        <v/>
      </c>
      <c r="BI131" s="392">
        <f>IF(ISBLANK(Actuals!BJ39),-1750.91*Escalation!$B$58,Actuals!BJ39)</f>
        <v/>
      </c>
      <c r="BJ131" s="392">
        <f>IF(ISBLANK(Actuals!BK39),-1750.91*Escalation!$B$59,Actuals!BK39)</f>
        <v/>
      </c>
      <c r="BK131" s="392">
        <f>IF(ISBLANK(Actuals!BL39),-1750.91*Escalation!$B$60,Actuals!BL39)</f>
        <v/>
      </c>
      <c r="BL131" s="392">
        <f>IF(ISBLANK(Actuals!BM39),-1750.91*Escalation!$B$61,Actuals!BM39)</f>
        <v/>
      </c>
      <c r="BM131" s="392">
        <f>IF(ISBLANK(Actuals!BN39),-1750.91*Escalation!$B$62,Actuals!BN39)</f>
        <v/>
      </c>
      <c r="BN131" s="392">
        <f>IF(ISBLANK(Actuals!BO39),-1750.91*Escalation!$B$63,Actuals!BO39)</f>
        <v/>
      </c>
      <c r="BO131" s="392">
        <f>IF(ISBLANK(Actuals!BP39),-1750.91*Escalation!$B$64,Actuals!BP39)</f>
        <v/>
      </c>
      <c r="BP131" s="392">
        <f>IF(ISBLANK(Actuals!BQ39),-1750.91*Escalation!$B$65,Actuals!BQ39)</f>
        <v/>
      </c>
      <c r="BQ131" s="392">
        <f>IF(ISBLANK(Actuals!BR39),-1750.91*Escalation!$B$66,Actuals!BR39)</f>
        <v/>
      </c>
      <c r="BR131" s="392">
        <f>IF(ISBLANK(Actuals!BS39),-1750.91*Escalation!$B$67,Actuals!BS39)</f>
        <v/>
      </c>
      <c r="BS131" s="392">
        <f>IF(ISBLANK(Actuals!BT39),-1750.91*Escalation!$B$68,Actuals!BT39)</f>
        <v/>
      </c>
      <c r="BT131" s="392">
        <f>IF(ISBLANK(Actuals!BU39),-1750.91*Escalation!$B$69,Actuals!BU39)</f>
        <v/>
      </c>
      <c r="BU131" s="392">
        <f>IF(ISBLANK(Actuals!BV39),-1750.91*Escalation!$B$70,Actuals!BV39)</f>
        <v/>
      </c>
      <c r="BV131" s="392">
        <f>IF(ISBLANK(Actuals!BW39),-1750.91*Escalation!$B$71,Actuals!BW39)</f>
        <v/>
      </c>
      <c r="BW131" s="392">
        <f>IF(ISBLANK(Actuals!BX39),-1750.91*Escalation!$B$72,Actuals!BX39)</f>
        <v/>
      </c>
      <c r="BX131" s="392">
        <f>IF(ISBLANK(Actuals!BY39),-1750.91*Escalation!$B$73,Actuals!BY39)</f>
        <v/>
      </c>
      <c r="BY131" s="392">
        <f>IF(ISBLANK(Actuals!BZ39),-1750.91*Escalation!$B$74,Actuals!BZ39)</f>
        <v/>
      </c>
      <c r="BZ131" s="392">
        <f>IF(ISBLANK(Actuals!CA39),-1750.91*Escalation!$B$75,Actuals!CA39)</f>
        <v/>
      </c>
      <c r="CA131" s="392">
        <f>IF(ISBLANK(Actuals!CB39),-1750.91*Escalation!$B$76,Actuals!CB39)</f>
        <v/>
      </c>
      <c r="CB131" s="392">
        <f>IF(ISBLANK(Actuals!CC39),-1750.91*Escalation!$B$77,Actuals!CC39)</f>
        <v/>
      </c>
      <c r="CC131" s="392">
        <f>IF(ISBLANK(Actuals!CD39),-1750.91*Escalation!$B$78,Actuals!CD39)</f>
        <v/>
      </c>
      <c r="CD131" s="392">
        <f>IF(ISBLANK(Actuals!CE39),-1750.91*Escalation!$B$79,Actuals!CE39)</f>
        <v/>
      </c>
      <c r="CE131" s="392">
        <f>IF(ISBLANK(Actuals!CF39),-1750.91*Escalation!$B$80,Actuals!CF39)</f>
        <v/>
      </c>
      <c r="CF131" s="392">
        <f>IF(ISBLANK(Actuals!CG39),-1750.91*Escalation!$B$81,Actuals!CG39)</f>
        <v/>
      </c>
      <c r="CG131" s="392">
        <f>IF(ISBLANK(Actuals!CH39),-1750.91*Escalation!$B$82,Actuals!CH39)</f>
        <v/>
      </c>
      <c r="CH131" s="392">
        <f>IF(ISBLANK(Actuals!CI39),-1750.91*Escalation!$B$83,Actuals!CI39)</f>
        <v/>
      </c>
      <c r="CI131" s="392">
        <f>IF(ISBLANK(Actuals!CJ39),-1750.91*Escalation!$B$84,Actuals!CJ39)</f>
        <v/>
      </c>
      <c r="CJ131" s="392">
        <f>IF(ISBLANK(Actuals!CK39),-1750.91*Escalation!$B$85,Actuals!CK39)</f>
        <v/>
      </c>
      <c r="CK131" s="392">
        <f>IF(ISBLANK(Actuals!CL39),-1750.91*Escalation!$B$86,Actuals!CL39)</f>
        <v/>
      </c>
      <c r="CL131" s="392">
        <f>IF(ISBLANK(Actuals!CM39),-1750.91*Escalation!$B$87,Actuals!CM39)</f>
        <v/>
      </c>
      <c r="CM131" s="392">
        <f>IF(ISBLANK(Actuals!CN39),-1750.91*Escalation!$B$88,Actuals!CN39)</f>
        <v/>
      </c>
      <c r="CN131" s="392">
        <f>IF(ISBLANK(Actuals!CO39),-1750.91*Escalation!$B$89,Actuals!CO39)</f>
        <v/>
      </c>
      <c r="CO131" s="392">
        <f>IF(ISBLANK(Actuals!CP39),-1750.91*Escalation!$B$90,Actuals!CP39)</f>
        <v/>
      </c>
      <c r="CP131" s="392">
        <f>IF(ISBLANK(Actuals!CQ39),-1750.91*Escalation!$B$91,Actuals!CQ39)</f>
        <v/>
      </c>
      <c r="CQ131" s="392">
        <f>IF(ISBLANK(Actuals!CR39),-1750.91*Escalation!$B$92,Actuals!CR39)</f>
        <v/>
      </c>
      <c r="CR131" s="392">
        <f>IF(ISBLANK(Actuals!CS39),-1750.91*Escalation!$B$93,Actuals!CS39)</f>
        <v/>
      </c>
      <c r="CS131" s="392">
        <f>IF(ISBLANK(Actuals!CT39),-1750.91*Escalation!$B$94,Actuals!CT39)</f>
        <v/>
      </c>
      <c r="CT131" s="392">
        <f>IF(ISBLANK(Actuals!CU39),-1750.91*Escalation!$B$95,Actuals!CU39)</f>
        <v/>
      </c>
      <c r="CU131" s="392">
        <f>IF(ISBLANK(Actuals!CV39),-1750.91*Escalation!$B$96,Actuals!CV39)</f>
        <v/>
      </c>
      <c r="CV131" s="392">
        <f>IF(ISBLANK(Actuals!CW39),-1750.91*Escalation!$B$97,Actuals!CW39)</f>
        <v/>
      </c>
      <c r="CW131" s="392">
        <f>IF(ISBLANK(Actuals!CX39),-1750.91*Escalation!$B$98,Actuals!CX39)</f>
        <v/>
      </c>
      <c r="CX131" s="392">
        <f>IF(ISBLANK(Actuals!CY39),-1750.91*Escalation!$B$99,Actuals!CY39)</f>
        <v/>
      </c>
      <c r="CY131" s="392">
        <f>IF(ISBLANK(Actuals!CZ39),-1750.91*Escalation!$B$100,Actuals!CZ39)</f>
        <v/>
      </c>
      <c r="CZ131" s="392">
        <f>IF(ISBLANK(Actuals!DA39),-1750.91*Escalation!$B$101,Actuals!DA39)</f>
        <v/>
      </c>
      <c r="DA131" s="392">
        <f>IF(ISBLANK(Actuals!DB39),-1750.91*Escalation!$B$102,Actuals!DB39)</f>
        <v/>
      </c>
      <c r="DB131" s="392">
        <f>IF(ISBLANK(Actuals!DC39),-1750.91*Escalation!$B$103,Actuals!DC39)</f>
        <v/>
      </c>
      <c r="DC131" s="392">
        <f>IF(ISBLANK(Actuals!DD39),-1750.91*Escalation!$B$104,Actuals!DD39)</f>
        <v/>
      </c>
      <c r="DD131" s="392">
        <f>IF(ISBLANK(Actuals!DE39),-1750.91*Escalation!$B$105,Actuals!DE39)</f>
        <v/>
      </c>
      <c r="DE131" s="392">
        <f>IF(ISBLANK(Actuals!DF39),-1750.91*Escalation!$B$106,Actuals!DF39)</f>
        <v/>
      </c>
    </row>
    <row r="132" ht="15" customFormat="1" customHeight="1" s="380">
      <c r="A132" s="397" t="inlineStr">
        <is>
          <t>5700-1003 Other Utilities</t>
        </is>
      </c>
      <c r="B132" s="392">
        <f>IF(ISBLANK(Actuals!C40),0,Actuals!C40)</f>
        <v/>
      </c>
      <c r="C132" s="392">
        <f>IF(ISBLANK(Actuals!D40),0,Actuals!D40)</f>
        <v/>
      </c>
      <c r="D132" s="392">
        <f>IF(ISBLANK(Actuals!E40),0,Actuals!E40)</f>
        <v/>
      </c>
      <c r="E132" s="392">
        <f>IF(ISBLANK(Actuals!F40),-1988.67*Escalation!$B$2,Actuals!F40)</f>
        <v/>
      </c>
      <c r="F132" s="392">
        <f>IF(ISBLANK(Actuals!G40),-1988.67*Escalation!$B$3,Actuals!G40)</f>
        <v/>
      </c>
      <c r="G132" s="392">
        <f>IF(ISBLANK(Actuals!H40),-1988.67*Escalation!$B$4,Actuals!H40)</f>
        <v/>
      </c>
      <c r="H132" s="392">
        <f>IF(ISBLANK(Actuals!I40),-1988.67*Escalation!$B$5,Actuals!I40)</f>
        <v/>
      </c>
      <c r="I132" s="392">
        <f>IF(ISBLANK(Actuals!J40),-1988.67*Escalation!$B$6,Actuals!J40)</f>
        <v/>
      </c>
      <c r="J132" s="392">
        <f>IF(ISBLANK(Actuals!K40),-1988.67*Escalation!$B$7,Actuals!K40)</f>
        <v/>
      </c>
      <c r="K132" s="392">
        <f>IF(ISBLANK(Actuals!L40),-1988.67*Escalation!$B$8,Actuals!L40)</f>
        <v/>
      </c>
      <c r="L132" s="392">
        <f>IF(ISBLANK(Actuals!M40),-1988.67*Escalation!$B$9,Actuals!M40)</f>
        <v/>
      </c>
      <c r="M132" s="392">
        <f>IF(ISBLANK(Actuals!N40),-1988.67*Escalation!$B$10,Actuals!N40)</f>
        <v/>
      </c>
      <c r="N132" s="392">
        <f>IF(ISBLANK(Actuals!O40),-1988.67*Escalation!$B$11,Actuals!O40)</f>
        <v/>
      </c>
      <c r="O132" s="392">
        <f>IF(ISBLANK(Actuals!P40),-1988.67*Escalation!$B$12,Actuals!P40)</f>
        <v/>
      </c>
      <c r="P132" s="392">
        <f>IF(ISBLANK(Actuals!Q40),-1988.67*Escalation!$B$13,Actuals!Q40)</f>
        <v/>
      </c>
      <c r="Q132" s="392">
        <f>IF(ISBLANK(Actuals!R40),-1988.67*Escalation!$B$14,Actuals!R40)</f>
        <v/>
      </c>
      <c r="R132" s="392">
        <f>IF(ISBLANK(Actuals!S40),-1988.67*Escalation!$B$15,Actuals!S40)</f>
        <v/>
      </c>
      <c r="S132" s="392">
        <f>IF(ISBLANK(Actuals!T40),-1988.67*Escalation!$B$16,Actuals!T40)</f>
        <v/>
      </c>
      <c r="T132" s="392">
        <f>IF(ISBLANK(Actuals!U40),-1988.67*Escalation!$B$17,Actuals!U40)</f>
        <v/>
      </c>
      <c r="U132" s="392">
        <f>IF(ISBLANK(Actuals!V40),-1988.67*Escalation!$B$18,Actuals!V40)</f>
        <v/>
      </c>
      <c r="V132" s="392">
        <f>IF(ISBLANK(Actuals!W40),-1988.67*Escalation!$B$19,Actuals!W40)</f>
        <v/>
      </c>
      <c r="W132" s="392">
        <f>IF(ISBLANK(Actuals!X40),-1988.67*Escalation!$B$20,Actuals!X40)</f>
        <v/>
      </c>
      <c r="X132" s="392">
        <f>IF(ISBLANK(Actuals!Y40),-1988.67*Escalation!$B$21,Actuals!Y40)</f>
        <v/>
      </c>
      <c r="Y132" s="392">
        <f>IF(ISBLANK(Actuals!Z40),-1988.67*Escalation!$B$22,Actuals!Z40)</f>
        <v/>
      </c>
      <c r="Z132" s="392">
        <f>IF(ISBLANK(Actuals!AA40),-1988.67*Escalation!$B$23,Actuals!AA40)</f>
        <v/>
      </c>
      <c r="AA132" s="392">
        <f>IF(ISBLANK(Actuals!AB40),-1988.67*Escalation!$B$24,Actuals!AB40)</f>
        <v/>
      </c>
      <c r="AB132" s="392">
        <f>IF(ISBLANK(Actuals!AC40),-1988.67*Escalation!$B$25,Actuals!AC40)</f>
        <v/>
      </c>
      <c r="AC132" s="392">
        <f>IF(ISBLANK(Actuals!AD40),-1988.67*Escalation!$B$26,Actuals!AD40)</f>
        <v/>
      </c>
      <c r="AD132" s="392">
        <f>IF(ISBLANK(Actuals!AE40),-1988.67*Escalation!$B$27,Actuals!AE40)</f>
        <v/>
      </c>
      <c r="AE132" s="392">
        <f>IF(ISBLANK(Actuals!AF40),-1988.67*Escalation!$B$28,Actuals!AF40)</f>
        <v/>
      </c>
      <c r="AF132" s="392">
        <f>IF(ISBLANK(Actuals!AG40),-1988.67*Escalation!$B$29,Actuals!AG40)</f>
        <v/>
      </c>
      <c r="AG132" s="392">
        <f>IF(ISBLANK(Actuals!AH40),-1988.67*Escalation!$B$30,Actuals!AH40)</f>
        <v/>
      </c>
      <c r="AH132" s="392">
        <f>IF(ISBLANK(Actuals!AI40),-1988.67*Escalation!$B$31,Actuals!AI40)</f>
        <v/>
      </c>
      <c r="AI132" s="392">
        <f>IF(ISBLANK(Actuals!AJ40),-1988.67*Escalation!$B$32,Actuals!AJ40)</f>
        <v/>
      </c>
      <c r="AJ132" s="392">
        <f>IF(ISBLANK(Actuals!AK40),-1988.67*Escalation!$B$33,Actuals!AK40)</f>
        <v/>
      </c>
      <c r="AK132" s="392">
        <f>IF(ISBLANK(Actuals!AL40),-1988.67*Escalation!$B$34,Actuals!AL40)</f>
        <v/>
      </c>
      <c r="AL132" s="392">
        <f>IF(ISBLANK(Actuals!AM40),-1988.67*Escalation!$B$35,Actuals!AM40)</f>
        <v/>
      </c>
      <c r="AM132" s="392">
        <f>IF(ISBLANK(Actuals!AN40),-1988.67*Escalation!$B$36,Actuals!AN40)</f>
        <v/>
      </c>
      <c r="AN132" s="392">
        <f>IF(ISBLANK(Actuals!AO40),-1988.67*Escalation!$B$37,Actuals!AO40)</f>
        <v/>
      </c>
      <c r="AO132" s="392">
        <f>IF(ISBLANK(Actuals!AP40),-1988.67*Escalation!$B$38,Actuals!AP40)</f>
        <v/>
      </c>
      <c r="AP132" s="392">
        <f>IF(ISBLANK(Actuals!AQ40),-1988.67*Escalation!$B$39,Actuals!AQ40)</f>
        <v/>
      </c>
      <c r="AQ132" s="392">
        <f>IF(ISBLANK(Actuals!AR40),-1988.67*Escalation!$B$40,Actuals!AR40)</f>
        <v/>
      </c>
      <c r="AR132" s="392">
        <f>IF(ISBLANK(Actuals!AS40),-1988.67*Escalation!$B$41,Actuals!AS40)</f>
        <v/>
      </c>
      <c r="AS132" s="392">
        <f>IF(ISBLANK(Actuals!AT40),-1988.67*Escalation!$B$42,Actuals!AT40)</f>
        <v/>
      </c>
      <c r="AT132" s="392">
        <f>IF(ISBLANK(Actuals!AU40),-1988.67*Escalation!$B$43,Actuals!AU40)</f>
        <v/>
      </c>
      <c r="AU132" s="392">
        <f>IF(ISBLANK(Actuals!AV40),-1988.67*Escalation!$B$44,Actuals!AV40)</f>
        <v/>
      </c>
      <c r="AV132" s="392">
        <f>IF(ISBLANK(Actuals!AW40),-1988.67*Escalation!$B$45,Actuals!AW40)</f>
        <v/>
      </c>
      <c r="AW132" s="392">
        <f>IF(ISBLANK(Actuals!AX40),-1988.67*Escalation!$B$46,Actuals!AX40)</f>
        <v/>
      </c>
      <c r="AX132" s="392">
        <f>IF(ISBLANK(Actuals!AY40),-1988.67*Escalation!$B$47,Actuals!AY40)</f>
        <v/>
      </c>
      <c r="AY132" s="392">
        <f>IF(ISBLANK(Actuals!AZ40),-1988.67*Escalation!$B$48,Actuals!AZ40)</f>
        <v/>
      </c>
      <c r="AZ132" s="392">
        <f>IF(ISBLANK(Actuals!BA40),-1988.67*Escalation!$B$49,Actuals!BA40)</f>
        <v/>
      </c>
      <c r="BA132" s="392">
        <f>IF(ISBLANK(Actuals!BB40),-1988.67*Escalation!$B$50,Actuals!BB40)</f>
        <v/>
      </c>
      <c r="BB132" s="392">
        <f>IF(ISBLANK(Actuals!BC40),-1988.67*Escalation!$B$51,Actuals!BC40)</f>
        <v/>
      </c>
      <c r="BC132" s="392">
        <f>IF(ISBLANK(Actuals!BD40),-1988.67*Escalation!$B$52,Actuals!BD40)</f>
        <v/>
      </c>
      <c r="BD132" s="392">
        <f>IF(ISBLANK(Actuals!BE40),-1988.67*Escalation!$B$53,Actuals!BE40)</f>
        <v/>
      </c>
      <c r="BE132" s="392">
        <f>IF(ISBLANK(Actuals!BF40),-1988.67*Escalation!$B$54,Actuals!BF40)</f>
        <v/>
      </c>
      <c r="BF132" s="392">
        <f>IF(ISBLANK(Actuals!BG40),-1988.67*Escalation!$B$55,Actuals!BG40)</f>
        <v/>
      </c>
      <c r="BG132" s="392">
        <f>IF(ISBLANK(Actuals!BH40),-1988.67*Escalation!$B$56,Actuals!BH40)</f>
        <v/>
      </c>
      <c r="BH132" s="392">
        <f>IF(ISBLANK(Actuals!BI40),-1988.67*Escalation!$B$57,Actuals!BI40)</f>
        <v/>
      </c>
      <c r="BI132" s="392">
        <f>IF(ISBLANK(Actuals!BJ40),-1988.67*Escalation!$B$58,Actuals!BJ40)</f>
        <v/>
      </c>
      <c r="BJ132" s="392">
        <f>IF(ISBLANK(Actuals!BK40),-1988.67*Escalation!$B$59,Actuals!BK40)</f>
        <v/>
      </c>
      <c r="BK132" s="392">
        <f>IF(ISBLANK(Actuals!BL40),-1988.67*Escalation!$B$60,Actuals!BL40)</f>
        <v/>
      </c>
      <c r="BL132" s="392">
        <f>IF(ISBLANK(Actuals!BM40),-1988.67*Escalation!$B$61,Actuals!BM40)</f>
        <v/>
      </c>
      <c r="BM132" s="392">
        <f>IF(ISBLANK(Actuals!BN40),-1988.67*Escalation!$B$62,Actuals!BN40)</f>
        <v/>
      </c>
      <c r="BN132" s="392">
        <f>IF(ISBLANK(Actuals!BO40),-1988.67*Escalation!$B$63,Actuals!BO40)</f>
        <v/>
      </c>
      <c r="BO132" s="392">
        <f>IF(ISBLANK(Actuals!BP40),-1988.67*Escalation!$B$64,Actuals!BP40)</f>
        <v/>
      </c>
      <c r="BP132" s="392">
        <f>IF(ISBLANK(Actuals!BQ40),-1988.67*Escalation!$B$65,Actuals!BQ40)</f>
        <v/>
      </c>
      <c r="BQ132" s="392">
        <f>IF(ISBLANK(Actuals!BR40),-1988.67*Escalation!$B$66,Actuals!BR40)</f>
        <v/>
      </c>
      <c r="BR132" s="392">
        <f>IF(ISBLANK(Actuals!BS40),-1988.67*Escalation!$B$67,Actuals!BS40)</f>
        <v/>
      </c>
      <c r="BS132" s="392">
        <f>IF(ISBLANK(Actuals!BT40),-1988.67*Escalation!$B$68,Actuals!BT40)</f>
        <v/>
      </c>
      <c r="BT132" s="392">
        <f>IF(ISBLANK(Actuals!BU40),-1988.67*Escalation!$B$69,Actuals!BU40)</f>
        <v/>
      </c>
      <c r="BU132" s="392">
        <f>IF(ISBLANK(Actuals!BV40),-1988.67*Escalation!$B$70,Actuals!BV40)</f>
        <v/>
      </c>
      <c r="BV132" s="392">
        <f>IF(ISBLANK(Actuals!BW40),-1988.67*Escalation!$B$71,Actuals!BW40)</f>
        <v/>
      </c>
      <c r="BW132" s="392">
        <f>IF(ISBLANK(Actuals!BX40),-1988.67*Escalation!$B$72,Actuals!BX40)</f>
        <v/>
      </c>
      <c r="BX132" s="392">
        <f>IF(ISBLANK(Actuals!BY40),-1988.67*Escalation!$B$73,Actuals!BY40)</f>
        <v/>
      </c>
      <c r="BY132" s="392">
        <f>IF(ISBLANK(Actuals!BZ40),-1988.67*Escalation!$B$74,Actuals!BZ40)</f>
        <v/>
      </c>
      <c r="BZ132" s="392">
        <f>IF(ISBLANK(Actuals!CA40),-1988.67*Escalation!$B$75,Actuals!CA40)</f>
        <v/>
      </c>
      <c r="CA132" s="392">
        <f>IF(ISBLANK(Actuals!CB40),-1988.67*Escalation!$B$76,Actuals!CB40)</f>
        <v/>
      </c>
      <c r="CB132" s="392">
        <f>IF(ISBLANK(Actuals!CC40),-1988.67*Escalation!$B$77,Actuals!CC40)</f>
        <v/>
      </c>
      <c r="CC132" s="392">
        <f>IF(ISBLANK(Actuals!CD40),-1988.67*Escalation!$B$78,Actuals!CD40)</f>
        <v/>
      </c>
      <c r="CD132" s="392">
        <f>IF(ISBLANK(Actuals!CE40),-1988.67*Escalation!$B$79,Actuals!CE40)</f>
        <v/>
      </c>
      <c r="CE132" s="392">
        <f>IF(ISBLANK(Actuals!CF40),-1988.67*Escalation!$B$80,Actuals!CF40)</f>
        <v/>
      </c>
      <c r="CF132" s="392">
        <f>IF(ISBLANK(Actuals!CG40),-1988.67*Escalation!$B$81,Actuals!CG40)</f>
        <v/>
      </c>
      <c r="CG132" s="392">
        <f>IF(ISBLANK(Actuals!CH40),-1988.67*Escalation!$B$82,Actuals!CH40)</f>
        <v/>
      </c>
      <c r="CH132" s="392">
        <f>IF(ISBLANK(Actuals!CI40),-1988.67*Escalation!$B$83,Actuals!CI40)</f>
        <v/>
      </c>
      <c r="CI132" s="392">
        <f>IF(ISBLANK(Actuals!CJ40),-1988.67*Escalation!$B$84,Actuals!CJ40)</f>
        <v/>
      </c>
      <c r="CJ132" s="392">
        <f>IF(ISBLANK(Actuals!CK40),-1988.67*Escalation!$B$85,Actuals!CK40)</f>
        <v/>
      </c>
      <c r="CK132" s="392">
        <f>IF(ISBLANK(Actuals!CL40),-1988.67*Escalation!$B$86,Actuals!CL40)</f>
        <v/>
      </c>
      <c r="CL132" s="392">
        <f>IF(ISBLANK(Actuals!CM40),-1988.67*Escalation!$B$87,Actuals!CM40)</f>
        <v/>
      </c>
      <c r="CM132" s="392">
        <f>IF(ISBLANK(Actuals!CN40),-1988.67*Escalation!$B$88,Actuals!CN40)</f>
        <v/>
      </c>
      <c r="CN132" s="392">
        <f>IF(ISBLANK(Actuals!CO40),-1988.67*Escalation!$B$89,Actuals!CO40)</f>
        <v/>
      </c>
      <c r="CO132" s="392">
        <f>IF(ISBLANK(Actuals!CP40),-1988.67*Escalation!$B$90,Actuals!CP40)</f>
        <v/>
      </c>
      <c r="CP132" s="392">
        <f>IF(ISBLANK(Actuals!CQ40),-1988.67*Escalation!$B$91,Actuals!CQ40)</f>
        <v/>
      </c>
      <c r="CQ132" s="392">
        <f>IF(ISBLANK(Actuals!CR40),-1988.67*Escalation!$B$92,Actuals!CR40)</f>
        <v/>
      </c>
      <c r="CR132" s="392">
        <f>IF(ISBLANK(Actuals!CS40),-1988.67*Escalation!$B$93,Actuals!CS40)</f>
        <v/>
      </c>
      <c r="CS132" s="392">
        <f>IF(ISBLANK(Actuals!CT40),-1988.67*Escalation!$B$94,Actuals!CT40)</f>
        <v/>
      </c>
      <c r="CT132" s="392">
        <f>IF(ISBLANK(Actuals!CU40),-1988.67*Escalation!$B$95,Actuals!CU40)</f>
        <v/>
      </c>
      <c r="CU132" s="392">
        <f>IF(ISBLANK(Actuals!CV40),-1988.67*Escalation!$B$96,Actuals!CV40)</f>
        <v/>
      </c>
      <c r="CV132" s="392">
        <f>IF(ISBLANK(Actuals!CW40),-1988.67*Escalation!$B$97,Actuals!CW40)</f>
        <v/>
      </c>
      <c r="CW132" s="392">
        <f>IF(ISBLANK(Actuals!CX40),-1988.67*Escalation!$B$98,Actuals!CX40)</f>
        <v/>
      </c>
      <c r="CX132" s="392">
        <f>IF(ISBLANK(Actuals!CY40),-1988.67*Escalation!$B$99,Actuals!CY40)</f>
        <v/>
      </c>
      <c r="CY132" s="392">
        <f>IF(ISBLANK(Actuals!CZ40),-1988.67*Escalation!$B$100,Actuals!CZ40)</f>
        <v/>
      </c>
      <c r="CZ132" s="392">
        <f>IF(ISBLANK(Actuals!DA40),-1988.67*Escalation!$B$101,Actuals!DA40)</f>
        <v/>
      </c>
      <c r="DA132" s="392">
        <f>IF(ISBLANK(Actuals!DB40),-1988.67*Escalation!$B$102,Actuals!DB40)</f>
        <v/>
      </c>
      <c r="DB132" s="392">
        <f>IF(ISBLANK(Actuals!DC40),-1988.67*Escalation!$B$103,Actuals!DC40)</f>
        <v/>
      </c>
      <c r="DC132" s="392">
        <f>IF(ISBLANK(Actuals!DD40),-1988.67*Escalation!$B$104,Actuals!DD40)</f>
        <v/>
      </c>
      <c r="DD132" s="392">
        <f>IF(ISBLANK(Actuals!DE40),-1988.67*Escalation!$B$105,Actuals!DE40)</f>
        <v/>
      </c>
      <c r="DE132" s="392">
        <f>IF(ISBLANK(Actuals!DF40),-1988.67*Escalation!$B$106,Actuals!DF40)</f>
        <v/>
      </c>
    </row>
    <row r="133" ht="15" customFormat="1" customHeight="1" s="380">
      <c r="A133" s="397" t="inlineStr">
        <is>
          <t>5800-1003 Consulting Fee</t>
        </is>
      </c>
      <c r="B133" s="392">
        <f>IF(ISBLANK(Actuals!C41),0,Actuals!C41)</f>
        <v/>
      </c>
      <c r="C133" s="392">
        <f>IF(ISBLANK(Actuals!D41),0,Actuals!D41)</f>
        <v/>
      </c>
      <c r="D133" s="392">
        <f>IF(ISBLANK(Actuals!E41),0,Actuals!E41)</f>
        <v/>
      </c>
      <c r="E133" s="392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2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2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2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2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2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2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2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2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2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2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2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2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2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2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2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2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2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2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2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2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2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2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2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2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2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2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2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2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2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2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2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2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2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2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2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2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2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2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2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2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2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2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2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2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2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2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2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2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2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2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2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2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2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2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2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2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2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2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2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2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2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2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2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2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2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2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2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2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2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2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2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2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2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2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2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2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2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2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2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2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2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2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2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2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2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2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2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2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2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2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2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2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2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2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2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2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2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2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2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2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2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2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2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2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Format="1" customHeight="1" s="380">
      <c r="A134" s="397" t="inlineStr">
        <is>
          <t>5900-1000 Security Monitoring</t>
        </is>
      </c>
      <c r="B134" s="392">
        <f>IF(ISBLANK(Actuals!C42),0,Actuals!C42)</f>
        <v/>
      </c>
      <c r="C134" s="392">
        <f>IF(ISBLANK(Actuals!D42),0,Actuals!D42)</f>
        <v/>
      </c>
      <c r="D134" s="392">
        <f>IF(ISBLANK(Actuals!E42),0,Actuals!E42)</f>
        <v/>
      </c>
      <c r="E134" s="392">
        <f>IF(ISBLANK(Actuals!F42),-55*Escalation!$B$2,Actuals!F42)</f>
        <v/>
      </c>
      <c r="F134" s="392">
        <f>IF(ISBLANK(Actuals!G42),-55*Escalation!$B$3,Actuals!G42)</f>
        <v/>
      </c>
      <c r="G134" s="392">
        <f>IF(ISBLANK(Actuals!H42),-55*Escalation!$B$4,Actuals!H42)</f>
        <v/>
      </c>
      <c r="H134" s="392">
        <f>IF(ISBLANK(Actuals!I42),-55*Escalation!$B$5,Actuals!I42)</f>
        <v/>
      </c>
      <c r="I134" s="392">
        <f>IF(ISBLANK(Actuals!J42),-55*Escalation!$B$6,Actuals!J42)</f>
        <v/>
      </c>
      <c r="J134" s="392">
        <f>IF(ISBLANK(Actuals!K42),-55*Escalation!$B$7,Actuals!K42)</f>
        <v/>
      </c>
      <c r="K134" s="392">
        <f>IF(ISBLANK(Actuals!L42),-55*Escalation!$B$8,Actuals!L42)</f>
        <v/>
      </c>
      <c r="L134" s="392">
        <f>IF(ISBLANK(Actuals!M42),-55*Escalation!$B$9,Actuals!M42)</f>
        <v/>
      </c>
      <c r="M134" s="392">
        <f>IF(ISBLANK(Actuals!N42),-55*Escalation!$B$10,Actuals!N42)</f>
        <v/>
      </c>
      <c r="N134" s="392">
        <f>IF(ISBLANK(Actuals!O42),-55*Escalation!$B$11,Actuals!O42)</f>
        <v/>
      </c>
      <c r="O134" s="392">
        <f>IF(ISBLANK(Actuals!P42),-55*Escalation!$B$12,Actuals!P42)</f>
        <v/>
      </c>
      <c r="P134" s="392">
        <f>IF(ISBLANK(Actuals!Q42),-55*Escalation!$B$13,Actuals!Q42)</f>
        <v/>
      </c>
      <c r="Q134" s="392">
        <f>IF(ISBLANK(Actuals!R42),-55*Escalation!$B$14,Actuals!R42)</f>
        <v/>
      </c>
      <c r="R134" s="392">
        <f>IF(ISBLANK(Actuals!S42),-55*Escalation!$B$15,Actuals!S42)</f>
        <v/>
      </c>
      <c r="S134" s="392">
        <f>IF(ISBLANK(Actuals!T42),-55*Escalation!$B$16,Actuals!T42)</f>
        <v/>
      </c>
      <c r="T134" s="392">
        <f>IF(ISBLANK(Actuals!U42),-55*Escalation!$B$17,Actuals!U42)</f>
        <v/>
      </c>
      <c r="U134" s="392">
        <f>IF(ISBLANK(Actuals!V42),-55*Escalation!$B$18,Actuals!V42)</f>
        <v/>
      </c>
      <c r="V134" s="392">
        <f>IF(ISBLANK(Actuals!W42),-55*Escalation!$B$19,Actuals!W42)</f>
        <v/>
      </c>
      <c r="W134" s="392">
        <f>IF(ISBLANK(Actuals!X42),-55*Escalation!$B$20,Actuals!X42)</f>
        <v/>
      </c>
      <c r="X134" s="392">
        <f>IF(ISBLANK(Actuals!Y42),-55*Escalation!$B$21,Actuals!Y42)</f>
        <v/>
      </c>
      <c r="Y134" s="392">
        <f>IF(ISBLANK(Actuals!Z42),-55*Escalation!$B$22,Actuals!Z42)</f>
        <v/>
      </c>
      <c r="Z134" s="392">
        <f>IF(ISBLANK(Actuals!AA42),-55*Escalation!$B$23,Actuals!AA42)</f>
        <v/>
      </c>
      <c r="AA134" s="392">
        <f>IF(ISBLANK(Actuals!AB42),-55*Escalation!$B$24,Actuals!AB42)</f>
        <v/>
      </c>
      <c r="AB134" s="392">
        <f>IF(ISBLANK(Actuals!AC42),-55*Escalation!$B$25,Actuals!AC42)</f>
        <v/>
      </c>
      <c r="AC134" s="392">
        <f>IF(ISBLANK(Actuals!AD42),-55*Escalation!$B$26,Actuals!AD42)</f>
        <v/>
      </c>
      <c r="AD134" s="392">
        <f>IF(ISBLANK(Actuals!AE42),-55*Escalation!$B$27,Actuals!AE42)</f>
        <v/>
      </c>
      <c r="AE134" s="392">
        <f>IF(ISBLANK(Actuals!AF42),-55*Escalation!$B$28,Actuals!AF42)</f>
        <v/>
      </c>
      <c r="AF134" s="392">
        <f>IF(ISBLANK(Actuals!AG42),-55*Escalation!$B$29,Actuals!AG42)</f>
        <v/>
      </c>
      <c r="AG134" s="392">
        <f>IF(ISBLANK(Actuals!AH42),-55*Escalation!$B$30,Actuals!AH42)</f>
        <v/>
      </c>
      <c r="AH134" s="392">
        <f>IF(ISBLANK(Actuals!AI42),-55*Escalation!$B$31,Actuals!AI42)</f>
        <v/>
      </c>
      <c r="AI134" s="392">
        <f>IF(ISBLANK(Actuals!AJ42),-55*Escalation!$B$32,Actuals!AJ42)</f>
        <v/>
      </c>
      <c r="AJ134" s="392">
        <f>IF(ISBLANK(Actuals!AK42),-55*Escalation!$B$33,Actuals!AK42)</f>
        <v/>
      </c>
      <c r="AK134" s="392">
        <f>IF(ISBLANK(Actuals!AL42),-55*Escalation!$B$34,Actuals!AL42)</f>
        <v/>
      </c>
      <c r="AL134" s="392">
        <f>IF(ISBLANK(Actuals!AM42),-55*Escalation!$B$35,Actuals!AM42)</f>
        <v/>
      </c>
      <c r="AM134" s="392">
        <f>IF(ISBLANK(Actuals!AN42),-55*Escalation!$B$36,Actuals!AN42)</f>
        <v/>
      </c>
      <c r="AN134" s="392">
        <f>IF(ISBLANK(Actuals!AO42),-55*Escalation!$B$37,Actuals!AO42)</f>
        <v/>
      </c>
      <c r="AO134" s="392">
        <f>IF(ISBLANK(Actuals!AP42),-55*Escalation!$B$38,Actuals!AP42)</f>
        <v/>
      </c>
      <c r="AP134" s="392">
        <f>IF(ISBLANK(Actuals!AQ42),-55*Escalation!$B$39,Actuals!AQ42)</f>
        <v/>
      </c>
      <c r="AQ134" s="392">
        <f>IF(ISBLANK(Actuals!AR42),-55*Escalation!$B$40,Actuals!AR42)</f>
        <v/>
      </c>
      <c r="AR134" s="392">
        <f>IF(ISBLANK(Actuals!AS42),-55*Escalation!$B$41,Actuals!AS42)</f>
        <v/>
      </c>
      <c r="AS134" s="392">
        <f>IF(ISBLANK(Actuals!AT42),-55*Escalation!$B$42,Actuals!AT42)</f>
        <v/>
      </c>
      <c r="AT134" s="392">
        <f>IF(ISBLANK(Actuals!AU42),-55*Escalation!$B$43,Actuals!AU42)</f>
        <v/>
      </c>
      <c r="AU134" s="392">
        <f>IF(ISBLANK(Actuals!AV42),-55*Escalation!$B$44,Actuals!AV42)</f>
        <v/>
      </c>
      <c r="AV134" s="392">
        <f>IF(ISBLANK(Actuals!AW42),-55*Escalation!$B$45,Actuals!AW42)</f>
        <v/>
      </c>
      <c r="AW134" s="392">
        <f>IF(ISBLANK(Actuals!AX42),-55*Escalation!$B$46,Actuals!AX42)</f>
        <v/>
      </c>
      <c r="AX134" s="392">
        <f>IF(ISBLANK(Actuals!AY42),-55*Escalation!$B$47,Actuals!AY42)</f>
        <v/>
      </c>
      <c r="AY134" s="392">
        <f>IF(ISBLANK(Actuals!AZ42),-55*Escalation!$B$48,Actuals!AZ42)</f>
        <v/>
      </c>
      <c r="AZ134" s="392">
        <f>IF(ISBLANK(Actuals!BA42),-55*Escalation!$B$49,Actuals!BA42)</f>
        <v/>
      </c>
      <c r="BA134" s="392">
        <f>IF(ISBLANK(Actuals!BB42),-55*Escalation!$B$50,Actuals!BB42)</f>
        <v/>
      </c>
      <c r="BB134" s="392">
        <f>IF(ISBLANK(Actuals!BC42),-55*Escalation!$B$51,Actuals!BC42)</f>
        <v/>
      </c>
      <c r="BC134" s="392">
        <f>IF(ISBLANK(Actuals!BD42),-55*Escalation!$B$52,Actuals!BD42)</f>
        <v/>
      </c>
      <c r="BD134" s="392">
        <f>IF(ISBLANK(Actuals!BE42),-55*Escalation!$B$53,Actuals!BE42)</f>
        <v/>
      </c>
      <c r="BE134" s="392">
        <f>IF(ISBLANK(Actuals!BF42),-55*Escalation!$B$54,Actuals!BF42)</f>
        <v/>
      </c>
      <c r="BF134" s="392">
        <f>IF(ISBLANK(Actuals!BG42),-55*Escalation!$B$55,Actuals!BG42)</f>
        <v/>
      </c>
      <c r="BG134" s="392">
        <f>IF(ISBLANK(Actuals!BH42),-55*Escalation!$B$56,Actuals!BH42)</f>
        <v/>
      </c>
      <c r="BH134" s="392">
        <f>IF(ISBLANK(Actuals!BI42),-55*Escalation!$B$57,Actuals!BI42)</f>
        <v/>
      </c>
      <c r="BI134" s="392">
        <f>IF(ISBLANK(Actuals!BJ42),-55*Escalation!$B$58,Actuals!BJ42)</f>
        <v/>
      </c>
      <c r="BJ134" s="392">
        <f>IF(ISBLANK(Actuals!BK42),-55*Escalation!$B$59,Actuals!BK42)</f>
        <v/>
      </c>
      <c r="BK134" s="392">
        <f>IF(ISBLANK(Actuals!BL42),-55*Escalation!$B$60,Actuals!BL42)</f>
        <v/>
      </c>
      <c r="BL134" s="392">
        <f>IF(ISBLANK(Actuals!BM42),-55*Escalation!$B$61,Actuals!BM42)</f>
        <v/>
      </c>
      <c r="BM134" s="392">
        <f>IF(ISBLANK(Actuals!BN42),-55*Escalation!$B$62,Actuals!BN42)</f>
        <v/>
      </c>
      <c r="BN134" s="392">
        <f>IF(ISBLANK(Actuals!BO42),-55*Escalation!$B$63,Actuals!BO42)</f>
        <v/>
      </c>
      <c r="BO134" s="392">
        <f>IF(ISBLANK(Actuals!BP42),-55*Escalation!$B$64,Actuals!BP42)</f>
        <v/>
      </c>
      <c r="BP134" s="392">
        <f>IF(ISBLANK(Actuals!BQ42),-55*Escalation!$B$65,Actuals!BQ42)</f>
        <v/>
      </c>
      <c r="BQ134" s="392">
        <f>IF(ISBLANK(Actuals!BR42),-55*Escalation!$B$66,Actuals!BR42)</f>
        <v/>
      </c>
      <c r="BR134" s="392">
        <f>IF(ISBLANK(Actuals!BS42),-55*Escalation!$B$67,Actuals!BS42)</f>
        <v/>
      </c>
      <c r="BS134" s="392">
        <f>IF(ISBLANK(Actuals!BT42),-55*Escalation!$B$68,Actuals!BT42)</f>
        <v/>
      </c>
      <c r="BT134" s="392">
        <f>IF(ISBLANK(Actuals!BU42),-55*Escalation!$B$69,Actuals!BU42)</f>
        <v/>
      </c>
      <c r="BU134" s="392">
        <f>IF(ISBLANK(Actuals!BV42),-55*Escalation!$B$70,Actuals!BV42)</f>
        <v/>
      </c>
      <c r="BV134" s="392">
        <f>IF(ISBLANK(Actuals!BW42),-55*Escalation!$B$71,Actuals!BW42)</f>
        <v/>
      </c>
      <c r="BW134" s="392">
        <f>IF(ISBLANK(Actuals!BX42),-55*Escalation!$B$72,Actuals!BX42)</f>
        <v/>
      </c>
      <c r="BX134" s="392">
        <f>IF(ISBLANK(Actuals!BY42),-55*Escalation!$B$73,Actuals!BY42)</f>
        <v/>
      </c>
      <c r="BY134" s="392">
        <f>IF(ISBLANK(Actuals!BZ42),-55*Escalation!$B$74,Actuals!BZ42)</f>
        <v/>
      </c>
      <c r="BZ134" s="392">
        <f>IF(ISBLANK(Actuals!CA42),-55*Escalation!$B$75,Actuals!CA42)</f>
        <v/>
      </c>
      <c r="CA134" s="392">
        <f>IF(ISBLANK(Actuals!CB42),-55*Escalation!$B$76,Actuals!CB42)</f>
        <v/>
      </c>
      <c r="CB134" s="392">
        <f>IF(ISBLANK(Actuals!CC42),-55*Escalation!$B$77,Actuals!CC42)</f>
        <v/>
      </c>
      <c r="CC134" s="392">
        <f>IF(ISBLANK(Actuals!CD42),-55*Escalation!$B$78,Actuals!CD42)</f>
        <v/>
      </c>
      <c r="CD134" s="392">
        <f>IF(ISBLANK(Actuals!CE42),-55*Escalation!$B$79,Actuals!CE42)</f>
        <v/>
      </c>
      <c r="CE134" s="392">
        <f>IF(ISBLANK(Actuals!CF42),-55*Escalation!$B$80,Actuals!CF42)</f>
        <v/>
      </c>
      <c r="CF134" s="392">
        <f>IF(ISBLANK(Actuals!CG42),-55*Escalation!$B$81,Actuals!CG42)</f>
        <v/>
      </c>
      <c r="CG134" s="392">
        <f>IF(ISBLANK(Actuals!CH42),-55*Escalation!$B$82,Actuals!CH42)</f>
        <v/>
      </c>
      <c r="CH134" s="392">
        <f>IF(ISBLANK(Actuals!CI42),-55*Escalation!$B$83,Actuals!CI42)</f>
        <v/>
      </c>
      <c r="CI134" s="392">
        <f>IF(ISBLANK(Actuals!CJ42),-55*Escalation!$B$84,Actuals!CJ42)</f>
        <v/>
      </c>
      <c r="CJ134" s="392">
        <f>IF(ISBLANK(Actuals!CK42),-55*Escalation!$B$85,Actuals!CK42)</f>
        <v/>
      </c>
      <c r="CK134" s="392">
        <f>IF(ISBLANK(Actuals!CL42),-55*Escalation!$B$86,Actuals!CL42)</f>
        <v/>
      </c>
      <c r="CL134" s="392">
        <f>IF(ISBLANK(Actuals!CM42),-55*Escalation!$B$87,Actuals!CM42)</f>
        <v/>
      </c>
      <c r="CM134" s="392">
        <f>IF(ISBLANK(Actuals!CN42),-55*Escalation!$B$88,Actuals!CN42)</f>
        <v/>
      </c>
      <c r="CN134" s="392">
        <f>IF(ISBLANK(Actuals!CO42),-55*Escalation!$B$89,Actuals!CO42)</f>
        <v/>
      </c>
      <c r="CO134" s="392">
        <f>IF(ISBLANK(Actuals!CP42),-55*Escalation!$B$90,Actuals!CP42)</f>
        <v/>
      </c>
      <c r="CP134" s="392">
        <f>IF(ISBLANK(Actuals!CQ42),-55*Escalation!$B$91,Actuals!CQ42)</f>
        <v/>
      </c>
      <c r="CQ134" s="392">
        <f>IF(ISBLANK(Actuals!CR42),-55*Escalation!$B$92,Actuals!CR42)</f>
        <v/>
      </c>
      <c r="CR134" s="392">
        <f>IF(ISBLANK(Actuals!CS42),-55*Escalation!$B$93,Actuals!CS42)</f>
        <v/>
      </c>
      <c r="CS134" s="392">
        <f>IF(ISBLANK(Actuals!CT42),-55*Escalation!$B$94,Actuals!CT42)</f>
        <v/>
      </c>
      <c r="CT134" s="392">
        <f>IF(ISBLANK(Actuals!CU42),-55*Escalation!$B$95,Actuals!CU42)</f>
        <v/>
      </c>
      <c r="CU134" s="392">
        <f>IF(ISBLANK(Actuals!CV42),-55*Escalation!$B$96,Actuals!CV42)</f>
        <v/>
      </c>
      <c r="CV134" s="392">
        <f>IF(ISBLANK(Actuals!CW42),-55*Escalation!$B$97,Actuals!CW42)</f>
        <v/>
      </c>
      <c r="CW134" s="392">
        <f>IF(ISBLANK(Actuals!CX42),-55*Escalation!$B$98,Actuals!CX42)</f>
        <v/>
      </c>
      <c r="CX134" s="392">
        <f>IF(ISBLANK(Actuals!CY42),-55*Escalation!$B$99,Actuals!CY42)</f>
        <v/>
      </c>
      <c r="CY134" s="392">
        <f>IF(ISBLANK(Actuals!CZ42),-55*Escalation!$B$100,Actuals!CZ42)</f>
        <v/>
      </c>
      <c r="CZ134" s="392">
        <f>IF(ISBLANK(Actuals!DA42),-55*Escalation!$B$101,Actuals!DA42)</f>
        <v/>
      </c>
      <c r="DA134" s="392">
        <f>IF(ISBLANK(Actuals!DB42),-55*Escalation!$B$102,Actuals!DB42)</f>
        <v/>
      </c>
      <c r="DB134" s="392">
        <f>IF(ISBLANK(Actuals!DC42),-55*Escalation!$B$103,Actuals!DC42)</f>
        <v/>
      </c>
      <c r="DC134" s="392">
        <f>IF(ISBLANK(Actuals!DD42),-55*Escalation!$B$104,Actuals!DD42)</f>
        <v/>
      </c>
      <c r="DD134" s="392">
        <f>IF(ISBLANK(Actuals!DE42),-55*Escalation!$B$105,Actuals!DE42)</f>
        <v/>
      </c>
      <c r="DE134" s="392">
        <f>IF(ISBLANK(Actuals!DF42),-55*Escalation!$B$106,Actuals!DF42)</f>
        <v/>
      </c>
    </row>
    <row r="135" ht="15" customFormat="1" customHeight="1" s="380">
      <c r="A135" s="415" t="inlineStr">
        <is>
          <t>5900-1002 Repairs and Maintenance</t>
        </is>
      </c>
      <c r="B135" s="401">
        <f>IF(ISBLANK(Actuals!C43),0,Actuals!C43)</f>
        <v/>
      </c>
      <c r="C135" s="401">
        <f>IF(ISBLANK(Actuals!D43),0,Actuals!D43)</f>
        <v/>
      </c>
      <c r="D135" s="401">
        <f>IF(ISBLANK(Actuals!E43),0,Actuals!E43)</f>
        <v/>
      </c>
      <c r="E135" s="401">
        <f>IF(ISBLANK(Actuals!F43),0*Escalation!$B$2,Actuals!F43)</f>
        <v/>
      </c>
      <c r="F135" s="401">
        <f>IF(ISBLANK(Actuals!G43),0*Escalation!$B$3,Actuals!G43)</f>
        <v/>
      </c>
      <c r="G135" s="401">
        <f>IF(ISBLANK(Actuals!H43),0*Escalation!$B$4,Actuals!H43)</f>
        <v/>
      </c>
      <c r="H135" s="401">
        <f>IF(ISBLANK(Actuals!I43),0*Escalation!$B$5,Actuals!I43)</f>
        <v/>
      </c>
      <c r="I135" s="401">
        <f>IF(ISBLANK(Actuals!J43),0*Escalation!$B$6,Actuals!J43)</f>
        <v/>
      </c>
      <c r="J135" s="401">
        <f>IF(ISBLANK(Actuals!K43),0*Escalation!$B$7,Actuals!K43)</f>
        <v/>
      </c>
      <c r="K135" s="401">
        <f>IF(ISBLANK(Actuals!L43),0*Escalation!$B$8,Actuals!L43)</f>
        <v/>
      </c>
      <c r="L135" s="401">
        <f>IF(ISBLANK(Actuals!M43),0*Escalation!$B$9,Actuals!M43)</f>
        <v/>
      </c>
      <c r="M135" s="401">
        <f>IF(ISBLANK(Actuals!N43),0*Escalation!$B$10,Actuals!N43)</f>
        <v/>
      </c>
      <c r="N135" s="401">
        <f>IF(ISBLANK(Actuals!O43),0*Escalation!$B$11,Actuals!O43)</f>
        <v/>
      </c>
      <c r="O135" s="401">
        <f>IF(ISBLANK(Actuals!P43),0*Escalation!$B$12,Actuals!P43)</f>
        <v/>
      </c>
      <c r="P135" s="401">
        <f>IF(ISBLANK(Actuals!Q43),0*Escalation!$B$13,Actuals!Q43)</f>
        <v/>
      </c>
      <c r="Q135" s="401">
        <f>IF(ISBLANK(Actuals!R43),0*Escalation!$B$14,Actuals!R43)</f>
        <v/>
      </c>
      <c r="R135" s="401">
        <f>IF(ISBLANK(Actuals!S43),0*Escalation!$B$15,Actuals!S43)</f>
        <v/>
      </c>
      <c r="S135" s="401">
        <f>IF(ISBLANK(Actuals!T43),0*Escalation!$B$16,Actuals!T43)</f>
        <v/>
      </c>
      <c r="T135" s="401">
        <f>IF(ISBLANK(Actuals!U43),0*Escalation!$B$17,Actuals!U43)</f>
        <v/>
      </c>
      <c r="U135" s="401">
        <f>IF(ISBLANK(Actuals!V43),0*Escalation!$B$18,Actuals!V43)</f>
        <v/>
      </c>
      <c r="V135" s="401">
        <f>IF(ISBLANK(Actuals!W43),0*Escalation!$B$19,Actuals!W43)</f>
        <v/>
      </c>
      <c r="W135" s="401">
        <f>IF(ISBLANK(Actuals!X43),0*Escalation!$B$20,Actuals!X43)</f>
        <v/>
      </c>
      <c r="X135" s="401">
        <f>IF(ISBLANK(Actuals!Y43),0*Escalation!$B$21,Actuals!Y43)</f>
        <v/>
      </c>
      <c r="Y135" s="401">
        <f>IF(ISBLANK(Actuals!Z43),0*Escalation!$B$22,Actuals!Z43)</f>
        <v/>
      </c>
      <c r="Z135" s="401">
        <f>IF(ISBLANK(Actuals!AA43),0*Escalation!$B$23,Actuals!AA43)</f>
        <v/>
      </c>
      <c r="AA135" s="401">
        <f>IF(ISBLANK(Actuals!AB43),0*Escalation!$B$24,Actuals!AB43)</f>
        <v/>
      </c>
      <c r="AB135" s="401">
        <f>IF(ISBLANK(Actuals!AC43),0*Escalation!$B$25,Actuals!AC43)</f>
        <v/>
      </c>
      <c r="AC135" s="401">
        <f>IF(ISBLANK(Actuals!AD43),0*Escalation!$B$26,Actuals!AD43)</f>
        <v/>
      </c>
      <c r="AD135" s="401">
        <f>IF(ISBLANK(Actuals!AE43),0*Escalation!$B$27,Actuals!AE43)</f>
        <v/>
      </c>
      <c r="AE135" s="401">
        <f>IF(ISBLANK(Actuals!AF43),0*Escalation!$B$28,Actuals!AF43)</f>
        <v/>
      </c>
      <c r="AF135" s="401">
        <f>IF(ISBLANK(Actuals!AG43),0*Escalation!$B$29,Actuals!AG43)</f>
        <v/>
      </c>
      <c r="AG135" s="401">
        <f>IF(ISBLANK(Actuals!AH43),0*Escalation!$B$30,Actuals!AH43)</f>
        <v/>
      </c>
      <c r="AH135" s="401">
        <f>IF(ISBLANK(Actuals!AI43),0*Escalation!$B$31,Actuals!AI43)</f>
        <v/>
      </c>
      <c r="AI135" s="401">
        <f>IF(ISBLANK(Actuals!AJ43),0*Escalation!$B$32,Actuals!AJ43)</f>
        <v/>
      </c>
      <c r="AJ135" s="401">
        <f>IF(ISBLANK(Actuals!AK43),0*Escalation!$B$33,Actuals!AK43)</f>
        <v/>
      </c>
      <c r="AK135" s="401">
        <f>IF(ISBLANK(Actuals!AL43),0*Escalation!$B$34,Actuals!AL43)</f>
        <v/>
      </c>
      <c r="AL135" s="401">
        <f>IF(ISBLANK(Actuals!AM43),0*Escalation!$B$35,Actuals!AM43)</f>
        <v/>
      </c>
      <c r="AM135" s="401">
        <f>IF(ISBLANK(Actuals!AN43),0*Escalation!$B$36,Actuals!AN43)</f>
        <v/>
      </c>
      <c r="AN135" s="401">
        <f>IF(ISBLANK(Actuals!AO43),0*Escalation!$B$37,Actuals!AO43)</f>
        <v/>
      </c>
      <c r="AO135" s="401">
        <f>IF(ISBLANK(Actuals!AP43),0*Escalation!$B$38,Actuals!AP43)</f>
        <v/>
      </c>
      <c r="AP135" s="401">
        <f>IF(ISBLANK(Actuals!AQ43),0*Escalation!$B$39,Actuals!AQ43)</f>
        <v/>
      </c>
      <c r="AQ135" s="401">
        <f>IF(ISBLANK(Actuals!AR43),0*Escalation!$B$40,Actuals!AR43)</f>
        <v/>
      </c>
      <c r="AR135" s="401">
        <f>IF(ISBLANK(Actuals!AS43),0*Escalation!$B$41,Actuals!AS43)</f>
        <v/>
      </c>
      <c r="AS135" s="401">
        <f>IF(ISBLANK(Actuals!AT43),0*Escalation!$B$42,Actuals!AT43)</f>
        <v/>
      </c>
      <c r="AT135" s="401">
        <f>IF(ISBLANK(Actuals!AU43),0*Escalation!$B$43,Actuals!AU43)</f>
        <v/>
      </c>
      <c r="AU135" s="401">
        <f>IF(ISBLANK(Actuals!AV43),0*Escalation!$B$44,Actuals!AV43)</f>
        <v/>
      </c>
      <c r="AV135" s="401">
        <f>IF(ISBLANK(Actuals!AW43),0*Escalation!$B$45,Actuals!AW43)</f>
        <v/>
      </c>
      <c r="AW135" s="401">
        <f>IF(ISBLANK(Actuals!AX43),0*Escalation!$B$46,Actuals!AX43)</f>
        <v/>
      </c>
      <c r="AX135" s="401">
        <f>IF(ISBLANK(Actuals!AY43),0*Escalation!$B$47,Actuals!AY43)</f>
        <v/>
      </c>
      <c r="AY135" s="401">
        <f>IF(ISBLANK(Actuals!AZ43),0*Escalation!$B$48,Actuals!AZ43)</f>
        <v/>
      </c>
      <c r="AZ135" s="401">
        <f>IF(ISBLANK(Actuals!BA43),0*Escalation!$B$49,Actuals!BA43)</f>
        <v/>
      </c>
      <c r="BA135" s="401">
        <f>IF(ISBLANK(Actuals!BB43),0*Escalation!$B$50,Actuals!BB43)</f>
        <v/>
      </c>
      <c r="BB135" s="401">
        <f>IF(ISBLANK(Actuals!BC43),0*Escalation!$B$51,Actuals!BC43)</f>
        <v/>
      </c>
      <c r="BC135" s="401">
        <f>IF(ISBLANK(Actuals!BD43),0*Escalation!$B$52,Actuals!BD43)</f>
        <v/>
      </c>
      <c r="BD135" s="401">
        <f>IF(ISBLANK(Actuals!BE43),0*Escalation!$B$53,Actuals!BE43)</f>
        <v/>
      </c>
      <c r="BE135" s="401">
        <f>IF(ISBLANK(Actuals!BF43),0*Escalation!$B$54,Actuals!BF43)</f>
        <v/>
      </c>
      <c r="BF135" s="401">
        <f>IF(ISBLANK(Actuals!BG43),0*Escalation!$B$55,Actuals!BG43)</f>
        <v/>
      </c>
      <c r="BG135" s="401">
        <f>IF(ISBLANK(Actuals!BH43),0*Escalation!$B$56,Actuals!BH43)</f>
        <v/>
      </c>
      <c r="BH135" s="401">
        <f>IF(ISBLANK(Actuals!BI43),0*Escalation!$B$57,Actuals!BI43)</f>
        <v/>
      </c>
      <c r="BI135" s="401">
        <f>IF(ISBLANK(Actuals!BJ43),0*Escalation!$B$58,Actuals!BJ43)</f>
        <v/>
      </c>
      <c r="BJ135" s="401">
        <f>IF(ISBLANK(Actuals!BK43),0*Escalation!$B$59,Actuals!BK43)</f>
        <v/>
      </c>
      <c r="BK135" s="401">
        <f>IF(ISBLANK(Actuals!BL43),0*Escalation!$B$60,Actuals!BL43)</f>
        <v/>
      </c>
      <c r="BL135" s="401">
        <f>IF(ISBLANK(Actuals!BM43),0*Escalation!$B$61,Actuals!BM43)</f>
        <v/>
      </c>
      <c r="BM135" s="401">
        <f>IF(ISBLANK(Actuals!BN43),0*Escalation!$B$62,Actuals!BN43)</f>
        <v/>
      </c>
      <c r="BN135" s="401">
        <f>IF(ISBLANK(Actuals!BO43),0*Escalation!$B$63,Actuals!BO43)</f>
        <v/>
      </c>
      <c r="BO135" s="401">
        <f>IF(ISBLANK(Actuals!BP43),0*Escalation!$B$64,Actuals!BP43)</f>
        <v/>
      </c>
      <c r="BP135" s="401">
        <f>IF(ISBLANK(Actuals!BQ43),0*Escalation!$B$65,Actuals!BQ43)</f>
        <v/>
      </c>
      <c r="BQ135" s="401">
        <f>IF(ISBLANK(Actuals!BR43),0*Escalation!$B$66,Actuals!BR43)</f>
        <v/>
      </c>
      <c r="BR135" s="401">
        <f>IF(ISBLANK(Actuals!BS43),0*Escalation!$B$67,Actuals!BS43)</f>
        <v/>
      </c>
      <c r="BS135" s="401">
        <f>IF(ISBLANK(Actuals!BT43),0*Escalation!$B$68,Actuals!BT43)</f>
        <v/>
      </c>
      <c r="BT135" s="401">
        <f>IF(ISBLANK(Actuals!BU43),0*Escalation!$B$69,Actuals!BU43)</f>
        <v/>
      </c>
      <c r="BU135" s="401">
        <f>IF(ISBLANK(Actuals!BV43),0*Escalation!$B$70,Actuals!BV43)</f>
        <v/>
      </c>
      <c r="BV135" s="401">
        <f>IF(ISBLANK(Actuals!BW43),0*Escalation!$B$71,Actuals!BW43)</f>
        <v/>
      </c>
      <c r="BW135" s="401">
        <f>IF(ISBLANK(Actuals!BX43),0*Escalation!$B$72,Actuals!BX43)</f>
        <v/>
      </c>
      <c r="BX135" s="401">
        <f>IF(ISBLANK(Actuals!BY43),0*Escalation!$B$73,Actuals!BY43)</f>
        <v/>
      </c>
      <c r="BY135" s="401">
        <f>IF(ISBLANK(Actuals!BZ43),0*Escalation!$B$74,Actuals!BZ43)</f>
        <v/>
      </c>
      <c r="BZ135" s="401">
        <f>IF(ISBLANK(Actuals!CA43),0*Escalation!$B$75,Actuals!CA43)</f>
        <v/>
      </c>
      <c r="CA135" s="401">
        <f>IF(ISBLANK(Actuals!CB43),0*Escalation!$B$76,Actuals!CB43)</f>
        <v/>
      </c>
      <c r="CB135" s="401">
        <f>IF(ISBLANK(Actuals!CC43),0*Escalation!$B$77,Actuals!CC43)</f>
        <v/>
      </c>
      <c r="CC135" s="401">
        <f>IF(ISBLANK(Actuals!CD43),0*Escalation!$B$78,Actuals!CD43)</f>
        <v/>
      </c>
      <c r="CD135" s="401">
        <f>IF(ISBLANK(Actuals!CE43),0*Escalation!$B$79,Actuals!CE43)</f>
        <v/>
      </c>
      <c r="CE135" s="401">
        <f>IF(ISBLANK(Actuals!CF43),0*Escalation!$B$80,Actuals!CF43)</f>
        <v/>
      </c>
      <c r="CF135" s="401">
        <f>IF(ISBLANK(Actuals!CG43),0*Escalation!$B$81,Actuals!CG43)</f>
        <v/>
      </c>
      <c r="CG135" s="401">
        <f>IF(ISBLANK(Actuals!CH43),0*Escalation!$B$82,Actuals!CH43)</f>
        <v/>
      </c>
      <c r="CH135" s="401">
        <f>IF(ISBLANK(Actuals!CI43),0*Escalation!$B$83,Actuals!CI43)</f>
        <v/>
      </c>
      <c r="CI135" s="401">
        <f>IF(ISBLANK(Actuals!CJ43),0*Escalation!$B$84,Actuals!CJ43)</f>
        <v/>
      </c>
      <c r="CJ135" s="401">
        <f>IF(ISBLANK(Actuals!CK43),0*Escalation!$B$85,Actuals!CK43)</f>
        <v/>
      </c>
      <c r="CK135" s="401">
        <f>IF(ISBLANK(Actuals!CL43),0*Escalation!$B$86,Actuals!CL43)</f>
        <v/>
      </c>
      <c r="CL135" s="401">
        <f>IF(ISBLANK(Actuals!CM43),0*Escalation!$B$87,Actuals!CM43)</f>
        <v/>
      </c>
      <c r="CM135" s="401">
        <f>IF(ISBLANK(Actuals!CN43),0*Escalation!$B$88,Actuals!CN43)</f>
        <v/>
      </c>
      <c r="CN135" s="401">
        <f>IF(ISBLANK(Actuals!CO43),0*Escalation!$B$89,Actuals!CO43)</f>
        <v/>
      </c>
      <c r="CO135" s="401">
        <f>IF(ISBLANK(Actuals!CP43),0*Escalation!$B$90,Actuals!CP43)</f>
        <v/>
      </c>
      <c r="CP135" s="401">
        <f>IF(ISBLANK(Actuals!CQ43),0*Escalation!$B$91,Actuals!CQ43)</f>
        <v/>
      </c>
      <c r="CQ135" s="401">
        <f>IF(ISBLANK(Actuals!CR43),0*Escalation!$B$92,Actuals!CR43)</f>
        <v/>
      </c>
      <c r="CR135" s="401">
        <f>IF(ISBLANK(Actuals!CS43),0*Escalation!$B$93,Actuals!CS43)</f>
        <v/>
      </c>
      <c r="CS135" s="401">
        <f>IF(ISBLANK(Actuals!CT43),0*Escalation!$B$94,Actuals!CT43)</f>
        <v/>
      </c>
      <c r="CT135" s="401">
        <f>IF(ISBLANK(Actuals!CU43),0*Escalation!$B$95,Actuals!CU43)</f>
        <v/>
      </c>
      <c r="CU135" s="401">
        <f>IF(ISBLANK(Actuals!CV43),0*Escalation!$B$96,Actuals!CV43)</f>
        <v/>
      </c>
      <c r="CV135" s="401">
        <f>IF(ISBLANK(Actuals!CW43),0*Escalation!$B$97,Actuals!CW43)</f>
        <v/>
      </c>
      <c r="CW135" s="401">
        <f>IF(ISBLANK(Actuals!CX43),0*Escalation!$B$98,Actuals!CX43)</f>
        <v/>
      </c>
      <c r="CX135" s="401">
        <f>IF(ISBLANK(Actuals!CY43),0*Escalation!$B$99,Actuals!CY43)</f>
        <v/>
      </c>
      <c r="CY135" s="401">
        <f>IF(ISBLANK(Actuals!CZ43),0*Escalation!$B$100,Actuals!CZ43)</f>
        <v/>
      </c>
      <c r="CZ135" s="401">
        <f>IF(ISBLANK(Actuals!DA43),0*Escalation!$B$101,Actuals!DA43)</f>
        <v/>
      </c>
      <c r="DA135" s="401">
        <f>IF(ISBLANK(Actuals!DB43),0*Escalation!$B$102,Actuals!DB43)</f>
        <v/>
      </c>
      <c r="DB135" s="401">
        <f>IF(ISBLANK(Actuals!DC43),0*Escalation!$B$103,Actuals!DC43)</f>
        <v/>
      </c>
      <c r="DC135" s="401">
        <f>IF(ISBLANK(Actuals!DD43),0*Escalation!$B$104,Actuals!DD43)</f>
        <v/>
      </c>
      <c r="DD135" s="401">
        <f>IF(ISBLANK(Actuals!DE43),0*Escalation!$B$105,Actuals!DE43)</f>
        <v/>
      </c>
      <c r="DE135" s="401">
        <f>IF(ISBLANK(Actuals!DF43),0*Escalation!$B$106,Actuals!DF43)</f>
        <v/>
      </c>
    </row>
    <row r="136" ht="15" customFormat="1" customHeight="1" s="380">
      <c r="A136" s="415" t="inlineStr">
        <is>
          <t>5900-1003 Janitorial and Cleaning Expenses</t>
        </is>
      </c>
      <c r="B136" s="401">
        <f>IF(ISBLANK(Actuals!C44),0,Actuals!C44)</f>
        <v/>
      </c>
      <c r="C136" s="401">
        <f>IF(ISBLANK(Actuals!D44),0,Actuals!D44)</f>
        <v/>
      </c>
      <c r="D136" s="401">
        <f>IF(ISBLANK(Actuals!E44),0,Actuals!E44)</f>
        <v/>
      </c>
      <c r="E136" s="401">
        <f>IF(ISBLANK(Actuals!F44),-550*Escalation!$B$2,Actuals!F44)</f>
        <v/>
      </c>
      <c r="F136" s="401">
        <f>IF(ISBLANK(Actuals!G44),-550*Escalation!$B$3,Actuals!G44)</f>
        <v/>
      </c>
      <c r="G136" s="401">
        <f>IF(ISBLANK(Actuals!H44),-550*Escalation!$B$4,Actuals!H44)</f>
        <v/>
      </c>
      <c r="H136" s="401">
        <f>IF(ISBLANK(Actuals!I44),-550*Escalation!$B$5,Actuals!I44)</f>
        <v/>
      </c>
      <c r="I136" s="401">
        <f>IF(ISBLANK(Actuals!J44),-550*Escalation!$B$6,Actuals!J44)</f>
        <v/>
      </c>
      <c r="J136" s="401">
        <f>IF(ISBLANK(Actuals!K44),-550*Escalation!$B$7,Actuals!K44)</f>
        <v/>
      </c>
      <c r="K136" s="401">
        <f>IF(ISBLANK(Actuals!L44),-550*Escalation!$B$8,Actuals!L44)</f>
        <v/>
      </c>
      <c r="L136" s="401">
        <f>IF(ISBLANK(Actuals!M44),-550*Escalation!$B$9,Actuals!M44)</f>
        <v/>
      </c>
      <c r="M136" s="401">
        <f>IF(ISBLANK(Actuals!N44),-550*Escalation!$B$10,Actuals!N44)</f>
        <v/>
      </c>
      <c r="N136" s="401">
        <f>IF(ISBLANK(Actuals!O44),-550*Escalation!$B$11,Actuals!O44)</f>
        <v/>
      </c>
      <c r="O136" s="401">
        <f>IF(ISBLANK(Actuals!P44),-550*Escalation!$B$12,Actuals!P44)</f>
        <v/>
      </c>
      <c r="P136" s="401">
        <f>IF(ISBLANK(Actuals!Q44),-550*Escalation!$B$13,Actuals!Q44)</f>
        <v/>
      </c>
      <c r="Q136" s="401">
        <f>IF(ISBLANK(Actuals!R44),-550*Escalation!$B$14,Actuals!R44)</f>
        <v/>
      </c>
      <c r="R136" s="401">
        <f>IF(ISBLANK(Actuals!S44),-550*Escalation!$B$15,Actuals!S44)</f>
        <v/>
      </c>
      <c r="S136" s="401">
        <f>IF(ISBLANK(Actuals!T44),-550*Escalation!$B$16,Actuals!T44)</f>
        <v/>
      </c>
      <c r="T136" s="401">
        <f>IF(ISBLANK(Actuals!U44),-550*Escalation!$B$17,Actuals!U44)</f>
        <v/>
      </c>
      <c r="U136" s="401">
        <f>IF(ISBLANK(Actuals!V44),-550*Escalation!$B$18,Actuals!V44)</f>
        <v/>
      </c>
      <c r="V136" s="401">
        <f>IF(ISBLANK(Actuals!W44),-550*Escalation!$B$19,Actuals!W44)</f>
        <v/>
      </c>
      <c r="W136" s="401">
        <f>IF(ISBLANK(Actuals!X44),-550*Escalation!$B$20,Actuals!X44)</f>
        <v/>
      </c>
      <c r="X136" s="401">
        <f>IF(ISBLANK(Actuals!Y44),-550*Escalation!$B$21,Actuals!Y44)</f>
        <v/>
      </c>
      <c r="Y136" s="401">
        <f>IF(ISBLANK(Actuals!Z44),-550*Escalation!$B$22,Actuals!Z44)</f>
        <v/>
      </c>
      <c r="Z136" s="401">
        <f>IF(ISBLANK(Actuals!AA44),-550*Escalation!$B$23,Actuals!AA44)</f>
        <v/>
      </c>
      <c r="AA136" s="401">
        <f>IF(ISBLANK(Actuals!AB44),-550*Escalation!$B$24,Actuals!AB44)</f>
        <v/>
      </c>
      <c r="AB136" s="401">
        <f>IF(ISBLANK(Actuals!AC44),-550*Escalation!$B$25,Actuals!AC44)</f>
        <v/>
      </c>
      <c r="AC136" s="401">
        <f>IF(ISBLANK(Actuals!AD44),-550*Escalation!$B$26,Actuals!AD44)</f>
        <v/>
      </c>
      <c r="AD136" s="401">
        <f>IF(ISBLANK(Actuals!AE44),-550*Escalation!$B$27,Actuals!AE44)</f>
        <v/>
      </c>
      <c r="AE136" s="401">
        <f>IF(ISBLANK(Actuals!AF44),-550*Escalation!$B$28,Actuals!AF44)</f>
        <v/>
      </c>
      <c r="AF136" s="401">
        <f>IF(ISBLANK(Actuals!AG44),-550*Escalation!$B$29,Actuals!AG44)</f>
        <v/>
      </c>
      <c r="AG136" s="401">
        <f>IF(ISBLANK(Actuals!AH44),-550*Escalation!$B$30,Actuals!AH44)</f>
        <v/>
      </c>
      <c r="AH136" s="401">
        <f>IF(ISBLANK(Actuals!AI44),-550*Escalation!$B$31,Actuals!AI44)</f>
        <v/>
      </c>
      <c r="AI136" s="401">
        <f>IF(ISBLANK(Actuals!AJ44),-550*Escalation!$B$32,Actuals!AJ44)</f>
        <v/>
      </c>
      <c r="AJ136" s="401">
        <f>IF(ISBLANK(Actuals!AK44),-550*Escalation!$B$33,Actuals!AK44)</f>
        <v/>
      </c>
      <c r="AK136" s="401">
        <f>IF(ISBLANK(Actuals!AL44),-550*Escalation!$B$34,Actuals!AL44)</f>
        <v/>
      </c>
      <c r="AL136" s="401">
        <f>IF(ISBLANK(Actuals!AM44),-550*Escalation!$B$35,Actuals!AM44)</f>
        <v/>
      </c>
      <c r="AM136" s="401">
        <f>IF(ISBLANK(Actuals!AN44),-550*Escalation!$B$36,Actuals!AN44)</f>
        <v/>
      </c>
      <c r="AN136" s="401">
        <f>IF(ISBLANK(Actuals!AO44),-550*Escalation!$B$37,Actuals!AO44)</f>
        <v/>
      </c>
      <c r="AO136" s="401">
        <f>IF(ISBLANK(Actuals!AP44),-550*Escalation!$B$38,Actuals!AP44)</f>
        <v/>
      </c>
      <c r="AP136" s="401">
        <f>IF(ISBLANK(Actuals!AQ44),-550*Escalation!$B$39,Actuals!AQ44)</f>
        <v/>
      </c>
      <c r="AQ136" s="401">
        <f>IF(ISBLANK(Actuals!AR44),-550*Escalation!$B$40,Actuals!AR44)</f>
        <v/>
      </c>
      <c r="AR136" s="401">
        <f>IF(ISBLANK(Actuals!AS44),-550*Escalation!$B$41,Actuals!AS44)</f>
        <v/>
      </c>
      <c r="AS136" s="401">
        <f>IF(ISBLANK(Actuals!AT44),-550*Escalation!$B$42,Actuals!AT44)</f>
        <v/>
      </c>
      <c r="AT136" s="401">
        <f>IF(ISBLANK(Actuals!AU44),-550*Escalation!$B$43,Actuals!AU44)</f>
        <v/>
      </c>
      <c r="AU136" s="401">
        <f>IF(ISBLANK(Actuals!AV44),-550*Escalation!$B$44,Actuals!AV44)</f>
        <v/>
      </c>
      <c r="AV136" s="401">
        <f>IF(ISBLANK(Actuals!AW44),-550*Escalation!$B$45,Actuals!AW44)</f>
        <v/>
      </c>
      <c r="AW136" s="401">
        <f>IF(ISBLANK(Actuals!AX44),-550*Escalation!$B$46,Actuals!AX44)</f>
        <v/>
      </c>
      <c r="AX136" s="401">
        <f>IF(ISBLANK(Actuals!AY44),-550*Escalation!$B$47,Actuals!AY44)</f>
        <v/>
      </c>
      <c r="AY136" s="401">
        <f>IF(ISBLANK(Actuals!AZ44),-550*Escalation!$B$48,Actuals!AZ44)</f>
        <v/>
      </c>
      <c r="AZ136" s="401">
        <f>IF(ISBLANK(Actuals!BA44),-550*Escalation!$B$49,Actuals!BA44)</f>
        <v/>
      </c>
      <c r="BA136" s="401">
        <f>IF(ISBLANK(Actuals!BB44),-550*Escalation!$B$50,Actuals!BB44)</f>
        <v/>
      </c>
      <c r="BB136" s="401">
        <f>IF(ISBLANK(Actuals!BC44),-550*Escalation!$B$51,Actuals!BC44)</f>
        <v/>
      </c>
      <c r="BC136" s="401">
        <f>IF(ISBLANK(Actuals!BD44),-550*Escalation!$B$52,Actuals!BD44)</f>
        <v/>
      </c>
      <c r="BD136" s="401">
        <f>IF(ISBLANK(Actuals!BE44),-550*Escalation!$B$53,Actuals!BE44)</f>
        <v/>
      </c>
      <c r="BE136" s="401">
        <f>IF(ISBLANK(Actuals!BF44),-550*Escalation!$B$54,Actuals!BF44)</f>
        <v/>
      </c>
      <c r="BF136" s="401">
        <f>IF(ISBLANK(Actuals!BG44),-550*Escalation!$B$55,Actuals!BG44)</f>
        <v/>
      </c>
      <c r="BG136" s="401">
        <f>IF(ISBLANK(Actuals!BH44),-550*Escalation!$B$56,Actuals!BH44)</f>
        <v/>
      </c>
      <c r="BH136" s="401">
        <f>IF(ISBLANK(Actuals!BI44),-550*Escalation!$B$57,Actuals!BI44)</f>
        <v/>
      </c>
      <c r="BI136" s="401">
        <f>IF(ISBLANK(Actuals!BJ44),-550*Escalation!$B$58,Actuals!BJ44)</f>
        <v/>
      </c>
      <c r="BJ136" s="401">
        <f>IF(ISBLANK(Actuals!BK44),-550*Escalation!$B$59,Actuals!BK44)</f>
        <v/>
      </c>
      <c r="BK136" s="401">
        <f>IF(ISBLANK(Actuals!BL44),-550*Escalation!$B$60,Actuals!BL44)</f>
        <v/>
      </c>
      <c r="BL136" s="401">
        <f>IF(ISBLANK(Actuals!BM44),-550*Escalation!$B$61,Actuals!BM44)</f>
        <v/>
      </c>
      <c r="BM136" s="401">
        <f>IF(ISBLANK(Actuals!BN44),-550*Escalation!$B$62,Actuals!BN44)</f>
        <v/>
      </c>
      <c r="BN136" s="401">
        <f>IF(ISBLANK(Actuals!BO44),-550*Escalation!$B$63,Actuals!BO44)</f>
        <v/>
      </c>
      <c r="BO136" s="401">
        <f>IF(ISBLANK(Actuals!BP44),-550*Escalation!$B$64,Actuals!BP44)</f>
        <v/>
      </c>
      <c r="BP136" s="401">
        <f>IF(ISBLANK(Actuals!BQ44),-550*Escalation!$B$65,Actuals!BQ44)</f>
        <v/>
      </c>
      <c r="BQ136" s="401">
        <f>IF(ISBLANK(Actuals!BR44),-550*Escalation!$B$66,Actuals!BR44)</f>
        <v/>
      </c>
      <c r="BR136" s="401">
        <f>IF(ISBLANK(Actuals!BS44),-550*Escalation!$B$67,Actuals!BS44)</f>
        <v/>
      </c>
      <c r="BS136" s="401">
        <f>IF(ISBLANK(Actuals!BT44),-550*Escalation!$B$68,Actuals!BT44)</f>
        <v/>
      </c>
      <c r="BT136" s="401">
        <f>IF(ISBLANK(Actuals!BU44),-550*Escalation!$B$69,Actuals!BU44)</f>
        <v/>
      </c>
      <c r="BU136" s="401">
        <f>IF(ISBLANK(Actuals!BV44),-550*Escalation!$B$70,Actuals!BV44)</f>
        <v/>
      </c>
      <c r="BV136" s="401">
        <f>IF(ISBLANK(Actuals!BW44),-550*Escalation!$B$71,Actuals!BW44)</f>
        <v/>
      </c>
      <c r="BW136" s="401">
        <f>IF(ISBLANK(Actuals!BX44),-550*Escalation!$B$72,Actuals!BX44)</f>
        <v/>
      </c>
      <c r="BX136" s="401">
        <f>IF(ISBLANK(Actuals!BY44),-550*Escalation!$B$73,Actuals!BY44)</f>
        <v/>
      </c>
      <c r="BY136" s="401">
        <f>IF(ISBLANK(Actuals!BZ44),-550*Escalation!$B$74,Actuals!BZ44)</f>
        <v/>
      </c>
      <c r="BZ136" s="401">
        <f>IF(ISBLANK(Actuals!CA44),-550*Escalation!$B$75,Actuals!CA44)</f>
        <v/>
      </c>
      <c r="CA136" s="401">
        <f>IF(ISBLANK(Actuals!CB44),-550*Escalation!$B$76,Actuals!CB44)</f>
        <v/>
      </c>
      <c r="CB136" s="401">
        <f>IF(ISBLANK(Actuals!CC44),-550*Escalation!$B$77,Actuals!CC44)</f>
        <v/>
      </c>
      <c r="CC136" s="401">
        <f>IF(ISBLANK(Actuals!CD44),-550*Escalation!$B$78,Actuals!CD44)</f>
        <v/>
      </c>
      <c r="CD136" s="401">
        <f>IF(ISBLANK(Actuals!CE44),-550*Escalation!$B$79,Actuals!CE44)</f>
        <v/>
      </c>
      <c r="CE136" s="401">
        <f>IF(ISBLANK(Actuals!CF44),-550*Escalation!$B$80,Actuals!CF44)</f>
        <v/>
      </c>
      <c r="CF136" s="401">
        <f>IF(ISBLANK(Actuals!CG44),-550*Escalation!$B$81,Actuals!CG44)</f>
        <v/>
      </c>
      <c r="CG136" s="401">
        <f>IF(ISBLANK(Actuals!CH44),-550*Escalation!$B$82,Actuals!CH44)</f>
        <v/>
      </c>
      <c r="CH136" s="401">
        <f>IF(ISBLANK(Actuals!CI44),-550*Escalation!$B$83,Actuals!CI44)</f>
        <v/>
      </c>
      <c r="CI136" s="401">
        <f>IF(ISBLANK(Actuals!CJ44),-550*Escalation!$B$84,Actuals!CJ44)</f>
        <v/>
      </c>
      <c r="CJ136" s="401">
        <f>IF(ISBLANK(Actuals!CK44),-550*Escalation!$B$85,Actuals!CK44)</f>
        <v/>
      </c>
      <c r="CK136" s="401">
        <f>IF(ISBLANK(Actuals!CL44),-550*Escalation!$B$86,Actuals!CL44)</f>
        <v/>
      </c>
      <c r="CL136" s="401">
        <f>IF(ISBLANK(Actuals!CM44),-550*Escalation!$B$87,Actuals!CM44)</f>
        <v/>
      </c>
      <c r="CM136" s="401">
        <f>IF(ISBLANK(Actuals!CN44),-550*Escalation!$B$88,Actuals!CN44)</f>
        <v/>
      </c>
      <c r="CN136" s="401">
        <f>IF(ISBLANK(Actuals!CO44),-550*Escalation!$B$89,Actuals!CO44)</f>
        <v/>
      </c>
      <c r="CO136" s="401">
        <f>IF(ISBLANK(Actuals!CP44),-550*Escalation!$B$90,Actuals!CP44)</f>
        <v/>
      </c>
      <c r="CP136" s="401">
        <f>IF(ISBLANK(Actuals!CQ44),-550*Escalation!$B$91,Actuals!CQ44)</f>
        <v/>
      </c>
      <c r="CQ136" s="401">
        <f>IF(ISBLANK(Actuals!CR44),-550*Escalation!$B$92,Actuals!CR44)</f>
        <v/>
      </c>
      <c r="CR136" s="401">
        <f>IF(ISBLANK(Actuals!CS44),-550*Escalation!$B$93,Actuals!CS44)</f>
        <v/>
      </c>
      <c r="CS136" s="401">
        <f>IF(ISBLANK(Actuals!CT44),-550*Escalation!$B$94,Actuals!CT44)</f>
        <v/>
      </c>
      <c r="CT136" s="401">
        <f>IF(ISBLANK(Actuals!CU44),-550*Escalation!$B$95,Actuals!CU44)</f>
        <v/>
      </c>
      <c r="CU136" s="401">
        <f>IF(ISBLANK(Actuals!CV44),-550*Escalation!$B$96,Actuals!CV44)</f>
        <v/>
      </c>
      <c r="CV136" s="401">
        <f>IF(ISBLANK(Actuals!CW44),-550*Escalation!$B$97,Actuals!CW44)</f>
        <v/>
      </c>
      <c r="CW136" s="401">
        <f>IF(ISBLANK(Actuals!CX44),-550*Escalation!$B$98,Actuals!CX44)</f>
        <v/>
      </c>
      <c r="CX136" s="401">
        <f>IF(ISBLANK(Actuals!CY44),-550*Escalation!$B$99,Actuals!CY44)</f>
        <v/>
      </c>
      <c r="CY136" s="401">
        <f>IF(ISBLANK(Actuals!CZ44),-550*Escalation!$B$100,Actuals!CZ44)</f>
        <v/>
      </c>
      <c r="CZ136" s="401">
        <f>IF(ISBLANK(Actuals!DA44),-550*Escalation!$B$101,Actuals!DA44)</f>
        <v/>
      </c>
      <c r="DA136" s="401">
        <f>IF(ISBLANK(Actuals!DB44),-550*Escalation!$B$102,Actuals!DB44)</f>
        <v/>
      </c>
      <c r="DB136" s="401">
        <f>IF(ISBLANK(Actuals!DC44),-550*Escalation!$B$103,Actuals!DC44)</f>
        <v/>
      </c>
      <c r="DC136" s="401">
        <f>IF(ISBLANK(Actuals!DD44),-550*Escalation!$B$104,Actuals!DD44)</f>
        <v/>
      </c>
      <c r="DD136" s="401">
        <f>IF(ISBLANK(Actuals!DE44),-550*Escalation!$B$105,Actuals!DE44)</f>
        <v/>
      </c>
      <c r="DE136" s="401">
        <f>IF(ISBLANK(Actuals!DF44),-550*Escalation!$B$106,Actuals!DF44)</f>
        <v/>
      </c>
    </row>
    <row r="137" ht="15" customFormat="1" customHeight="1" s="380">
      <c r="A137" s="415" t="inlineStr">
        <is>
          <t>5900-1005 Supplies and Other Job Site Overhead</t>
        </is>
      </c>
      <c r="B137" s="401">
        <f>IF(ISBLANK(Actuals!C45),0,Actuals!C45)</f>
        <v/>
      </c>
      <c r="C137" s="401">
        <f>IF(ISBLANK(Actuals!D45),0,Actuals!D45)</f>
        <v/>
      </c>
      <c r="D137" s="401">
        <f>IF(ISBLANK(Actuals!E45),0,Actuals!E45)</f>
        <v/>
      </c>
      <c r="E137" s="401">
        <f>IF(ISBLANK(Actuals!F45),-17638.14*Escalation!$B$2,Actuals!F45)</f>
        <v/>
      </c>
      <c r="F137" s="401">
        <f>IF(ISBLANK(Actuals!G45),-17638.14*Escalation!$B$3,Actuals!G45)</f>
        <v/>
      </c>
      <c r="G137" s="401">
        <f>IF(ISBLANK(Actuals!H45),-17638.14*Escalation!$B$4,Actuals!H45)</f>
        <v/>
      </c>
      <c r="H137" s="401">
        <f>IF(ISBLANK(Actuals!I45),-17638.14*Escalation!$B$5,Actuals!I45)</f>
        <v/>
      </c>
      <c r="I137" s="401">
        <f>IF(ISBLANK(Actuals!J45),-17638.14*Escalation!$B$6,Actuals!J45)</f>
        <v/>
      </c>
      <c r="J137" s="401">
        <f>IF(ISBLANK(Actuals!K45),-17638.14*Escalation!$B$7,Actuals!K45)</f>
        <v/>
      </c>
      <c r="K137" s="401">
        <f>IF(ISBLANK(Actuals!L45),-17638.14*Escalation!$B$8,Actuals!L45)</f>
        <v/>
      </c>
      <c r="L137" s="401">
        <f>IF(ISBLANK(Actuals!M45),-17638.14*Escalation!$B$9,Actuals!M45)</f>
        <v/>
      </c>
      <c r="M137" s="401">
        <f>IF(ISBLANK(Actuals!N45),-17638.14*Escalation!$B$10,Actuals!N45)</f>
        <v/>
      </c>
      <c r="N137" s="401">
        <f>IF(ISBLANK(Actuals!O45),-17638.14*Escalation!$B$11,Actuals!O45)</f>
        <v/>
      </c>
      <c r="O137" s="401">
        <f>IF(ISBLANK(Actuals!P45),-17638.14*Escalation!$B$12,Actuals!P45)</f>
        <v/>
      </c>
      <c r="P137" s="401">
        <f>IF(ISBLANK(Actuals!Q45),-17638.14*Escalation!$B$13,Actuals!Q45)</f>
        <v/>
      </c>
      <c r="Q137" s="401">
        <f>IF(ISBLANK(Actuals!R45),-17638.14*Escalation!$B$14,Actuals!R45)</f>
        <v/>
      </c>
      <c r="R137" s="401">
        <f>IF(ISBLANK(Actuals!S45),-17638.14*Escalation!$B$15,Actuals!S45)</f>
        <v/>
      </c>
      <c r="S137" s="401">
        <f>IF(ISBLANK(Actuals!T45),-17638.14*Escalation!$B$16,Actuals!T45)</f>
        <v/>
      </c>
      <c r="T137" s="401">
        <f>IF(ISBLANK(Actuals!U45),-17638.14*Escalation!$B$17,Actuals!U45)</f>
        <v/>
      </c>
      <c r="U137" s="401">
        <f>IF(ISBLANK(Actuals!V45),-17638.14*Escalation!$B$18,Actuals!V45)</f>
        <v/>
      </c>
      <c r="V137" s="401">
        <f>IF(ISBLANK(Actuals!W45),-17638.14*Escalation!$B$19,Actuals!W45)</f>
        <v/>
      </c>
      <c r="W137" s="401">
        <f>IF(ISBLANK(Actuals!X45),-17638.14*Escalation!$B$20,Actuals!X45)</f>
        <v/>
      </c>
      <c r="X137" s="401">
        <f>IF(ISBLANK(Actuals!Y45),-17638.14*Escalation!$B$21,Actuals!Y45)</f>
        <v/>
      </c>
      <c r="Y137" s="401">
        <f>IF(ISBLANK(Actuals!Z45),-17638.14*Escalation!$B$22,Actuals!Z45)</f>
        <v/>
      </c>
      <c r="Z137" s="401">
        <f>IF(ISBLANK(Actuals!AA45),-17638.14*Escalation!$B$23,Actuals!AA45)</f>
        <v/>
      </c>
      <c r="AA137" s="401">
        <f>IF(ISBLANK(Actuals!AB45),-17638.14*Escalation!$B$24,Actuals!AB45)</f>
        <v/>
      </c>
      <c r="AB137" s="401">
        <f>IF(ISBLANK(Actuals!AC45),-17638.14*Escalation!$B$25,Actuals!AC45)</f>
        <v/>
      </c>
      <c r="AC137" s="401">
        <f>IF(ISBLANK(Actuals!AD45),-17638.14*Escalation!$B$26,Actuals!AD45)</f>
        <v/>
      </c>
      <c r="AD137" s="401">
        <f>IF(ISBLANK(Actuals!AE45),-17638.14*Escalation!$B$27,Actuals!AE45)</f>
        <v/>
      </c>
      <c r="AE137" s="401">
        <f>IF(ISBLANK(Actuals!AF45),-17638.14*Escalation!$B$28,Actuals!AF45)</f>
        <v/>
      </c>
      <c r="AF137" s="401">
        <f>IF(ISBLANK(Actuals!AG45),-17638.14*Escalation!$B$29,Actuals!AG45)</f>
        <v/>
      </c>
      <c r="AG137" s="401">
        <f>IF(ISBLANK(Actuals!AH45),-17638.14*Escalation!$B$30,Actuals!AH45)</f>
        <v/>
      </c>
      <c r="AH137" s="401">
        <f>IF(ISBLANK(Actuals!AI45),-17638.14*Escalation!$B$31,Actuals!AI45)</f>
        <v/>
      </c>
      <c r="AI137" s="401">
        <f>IF(ISBLANK(Actuals!AJ45),-17638.14*Escalation!$B$32,Actuals!AJ45)</f>
        <v/>
      </c>
      <c r="AJ137" s="401">
        <f>IF(ISBLANK(Actuals!AK45),-17638.14*Escalation!$B$33,Actuals!AK45)</f>
        <v/>
      </c>
      <c r="AK137" s="401">
        <f>IF(ISBLANK(Actuals!AL45),-17638.14*Escalation!$B$34,Actuals!AL45)</f>
        <v/>
      </c>
      <c r="AL137" s="401">
        <f>IF(ISBLANK(Actuals!AM45),-17638.14*Escalation!$B$35,Actuals!AM45)</f>
        <v/>
      </c>
      <c r="AM137" s="401">
        <f>IF(ISBLANK(Actuals!AN45),-17638.14*Escalation!$B$36,Actuals!AN45)</f>
        <v/>
      </c>
      <c r="AN137" s="401">
        <f>IF(ISBLANK(Actuals!AO45),-17638.14*Escalation!$B$37,Actuals!AO45)</f>
        <v/>
      </c>
      <c r="AO137" s="401">
        <f>IF(ISBLANK(Actuals!AP45),-17638.14*Escalation!$B$38,Actuals!AP45)</f>
        <v/>
      </c>
      <c r="AP137" s="401">
        <f>IF(ISBLANK(Actuals!AQ45),-17638.14*Escalation!$B$39,Actuals!AQ45)</f>
        <v/>
      </c>
      <c r="AQ137" s="401">
        <f>IF(ISBLANK(Actuals!AR45),-17638.14*Escalation!$B$40,Actuals!AR45)</f>
        <v/>
      </c>
      <c r="AR137" s="401">
        <f>IF(ISBLANK(Actuals!AS45),-17638.14*Escalation!$B$41,Actuals!AS45)</f>
        <v/>
      </c>
      <c r="AS137" s="401">
        <f>IF(ISBLANK(Actuals!AT45),-17638.14*Escalation!$B$42,Actuals!AT45)</f>
        <v/>
      </c>
      <c r="AT137" s="401">
        <f>IF(ISBLANK(Actuals!AU45),-17638.14*Escalation!$B$43,Actuals!AU45)</f>
        <v/>
      </c>
      <c r="AU137" s="401">
        <f>IF(ISBLANK(Actuals!AV45),-17638.14*Escalation!$B$44,Actuals!AV45)</f>
        <v/>
      </c>
      <c r="AV137" s="401">
        <f>IF(ISBLANK(Actuals!AW45),-17638.14*Escalation!$B$45,Actuals!AW45)</f>
        <v/>
      </c>
      <c r="AW137" s="401">
        <f>IF(ISBLANK(Actuals!AX45),-17638.14*Escalation!$B$46,Actuals!AX45)</f>
        <v/>
      </c>
      <c r="AX137" s="401">
        <f>IF(ISBLANK(Actuals!AY45),-17638.14*Escalation!$B$47,Actuals!AY45)</f>
        <v/>
      </c>
      <c r="AY137" s="401">
        <f>IF(ISBLANK(Actuals!AZ45),-17638.14*Escalation!$B$48,Actuals!AZ45)</f>
        <v/>
      </c>
      <c r="AZ137" s="401">
        <f>IF(ISBLANK(Actuals!BA45),-17638.14*Escalation!$B$49,Actuals!BA45)</f>
        <v/>
      </c>
      <c r="BA137" s="401">
        <f>IF(ISBLANK(Actuals!BB45),-17638.14*Escalation!$B$50,Actuals!BB45)</f>
        <v/>
      </c>
      <c r="BB137" s="401">
        <f>IF(ISBLANK(Actuals!BC45),-17638.14*Escalation!$B$51,Actuals!BC45)</f>
        <v/>
      </c>
      <c r="BC137" s="401">
        <f>IF(ISBLANK(Actuals!BD45),-17638.14*Escalation!$B$52,Actuals!BD45)</f>
        <v/>
      </c>
      <c r="BD137" s="401">
        <f>IF(ISBLANK(Actuals!BE45),-17638.14*Escalation!$B$53,Actuals!BE45)</f>
        <v/>
      </c>
      <c r="BE137" s="401">
        <f>IF(ISBLANK(Actuals!BF45),-17638.14*Escalation!$B$54,Actuals!BF45)</f>
        <v/>
      </c>
      <c r="BF137" s="401">
        <f>IF(ISBLANK(Actuals!BG45),-17638.14*Escalation!$B$55,Actuals!BG45)</f>
        <v/>
      </c>
      <c r="BG137" s="401">
        <f>IF(ISBLANK(Actuals!BH45),-17638.14*Escalation!$B$56,Actuals!BH45)</f>
        <v/>
      </c>
      <c r="BH137" s="401">
        <f>IF(ISBLANK(Actuals!BI45),-17638.14*Escalation!$B$57,Actuals!BI45)</f>
        <v/>
      </c>
      <c r="BI137" s="401">
        <f>IF(ISBLANK(Actuals!BJ45),-17638.14*Escalation!$B$58,Actuals!BJ45)</f>
        <v/>
      </c>
      <c r="BJ137" s="401">
        <f>IF(ISBLANK(Actuals!BK45),-17638.14*Escalation!$B$59,Actuals!BK45)</f>
        <v/>
      </c>
      <c r="BK137" s="401">
        <f>IF(ISBLANK(Actuals!BL45),-17638.14*Escalation!$B$60,Actuals!BL45)</f>
        <v/>
      </c>
      <c r="BL137" s="401">
        <f>IF(ISBLANK(Actuals!BM45),-17638.14*Escalation!$B$61,Actuals!BM45)</f>
        <v/>
      </c>
      <c r="BM137" s="401">
        <f>IF(ISBLANK(Actuals!BN45),-17638.14*Escalation!$B$62,Actuals!BN45)</f>
        <v/>
      </c>
      <c r="BN137" s="401">
        <f>IF(ISBLANK(Actuals!BO45),-17638.14*Escalation!$B$63,Actuals!BO45)</f>
        <v/>
      </c>
      <c r="BO137" s="401">
        <f>IF(ISBLANK(Actuals!BP45),-17638.14*Escalation!$B$64,Actuals!BP45)</f>
        <v/>
      </c>
      <c r="BP137" s="401">
        <f>IF(ISBLANK(Actuals!BQ45),-17638.14*Escalation!$B$65,Actuals!BQ45)</f>
        <v/>
      </c>
      <c r="BQ137" s="401">
        <f>IF(ISBLANK(Actuals!BR45),-17638.14*Escalation!$B$66,Actuals!BR45)</f>
        <v/>
      </c>
      <c r="BR137" s="401">
        <f>IF(ISBLANK(Actuals!BS45),-17638.14*Escalation!$B$67,Actuals!BS45)</f>
        <v/>
      </c>
      <c r="BS137" s="401">
        <f>IF(ISBLANK(Actuals!BT45),-17638.14*Escalation!$B$68,Actuals!BT45)</f>
        <v/>
      </c>
      <c r="BT137" s="401">
        <f>IF(ISBLANK(Actuals!BU45),-17638.14*Escalation!$B$69,Actuals!BU45)</f>
        <v/>
      </c>
      <c r="BU137" s="401">
        <f>IF(ISBLANK(Actuals!BV45),-17638.14*Escalation!$B$70,Actuals!BV45)</f>
        <v/>
      </c>
      <c r="BV137" s="401">
        <f>IF(ISBLANK(Actuals!BW45),-17638.14*Escalation!$B$71,Actuals!BW45)</f>
        <v/>
      </c>
      <c r="BW137" s="401">
        <f>IF(ISBLANK(Actuals!BX45),-17638.14*Escalation!$B$72,Actuals!BX45)</f>
        <v/>
      </c>
      <c r="BX137" s="401">
        <f>IF(ISBLANK(Actuals!BY45),-17638.14*Escalation!$B$73,Actuals!BY45)</f>
        <v/>
      </c>
      <c r="BY137" s="401">
        <f>IF(ISBLANK(Actuals!BZ45),-17638.14*Escalation!$B$74,Actuals!BZ45)</f>
        <v/>
      </c>
      <c r="BZ137" s="401">
        <f>IF(ISBLANK(Actuals!CA45),-17638.14*Escalation!$B$75,Actuals!CA45)</f>
        <v/>
      </c>
      <c r="CA137" s="401">
        <f>IF(ISBLANK(Actuals!CB45),-17638.14*Escalation!$B$76,Actuals!CB45)</f>
        <v/>
      </c>
      <c r="CB137" s="401">
        <f>IF(ISBLANK(Actuals!CC45),-17638.14*Escalation!$B$77,Actuals!CC45)</f>
        <v/>
      </c>
      <c r="CC137" s="401">
        <f>IF(ISBLANK(Actuals!CD45),-17638.14*Escalation!$B$78,Actuals!CD45)</f>
        <v/>
      </c>
      <c r="CD137" s="401">
        <f>IF(ISBLANK(Actuals!CE45),-17638.14*Escalation!$B$79,Actuals!CE45)</f>
        <v/>
      </c>
      <c r="CE137" s="401">
        <f>IF(ISBLANK(Actuals!CF45),-17638.14*Escalation!$B$80,Actuals!CF45)</f>
        <v/>
      </c>
      <c r="CF137" s="401">
        <f>IF(ISBLANK(Actuals!CG45),-17638.14*Escalation!$B$81,Actuals!CG45)</f>
        <v/>
      </c>
      <c r="CG137" s="401">
        <f>IF(ISBLANK(Actuals!CH45),-17638.14*Escalation!$B$82,Actuals!CH45)</f>
        <v/>
      </c>
      <c r="CH137" s="401">
        <f>IF(ISBLANK(Actuals!CI45),-17638.14*Escalation!$B$83,Actuals!CI45)</f>
        <v/>
      </c>
      <c r="CI137" s="401">
        <f>IF(ISBLANK(Actuals!CJ45),-17638.14*Escalation!$B$84,Actuals!CJ45)</f>
        <v/>
      </c>
      <c r="CJ137" s="401">
        <f>IF(ISBLANK(Actuals!CK45),-17638.14*Escalation!$B$85,Actuals!CK45)</f>
        <v/>
      </c>
      <c r="CK137" s="401">
        <f>IF(ISBLANK(Actuals!CL45),-17638.14*Escalation!$B$86,Actuals!CL45)</f>
        <v/>
      </c>
      <c r="CL137" s="401">
        <f>IF(ISBLANK(Actuals!CM45),-17638.14*Escalation!$B$87,Actuals!CM45)</f>
        <v/>
      </c>
      <c r="CM137" s="401">
        <f>IF(ISBLANK(Actuals!CN45),-17638.14*Escalation!$B$88,Actuals!CN45)</f>
        <v/>
      </c>
      <c r="CN137" s="401">
        <f>IF(ISBLANK(Actuals!CO45),-17638.14*Escalation!$B$89,Actuals!CO45)</f>
        <v/>
      </c>
      <c r="CO137" s="401">
        <f>IF(ISBLANK(Actuals!CP45),-17638.14*Escalation!$B$90,Actuals!CP45)</f>
        <v/>
      </c>
      <c r="CP137" s="401">
        <f>IF(ISBLANK(Actuals!CQ45),-17638.14*Escalation!$B$91,Actuals!CQ45)</f>
        <v/>
      </c>
      <c r="CQ137" s="401">
        <f>IF(ISBLANK(Actuals!CR45),-17638.14*Escalation!$B$92,Actuals!CR45)</f>
        <v/>
      </c>
      <c r="CR137" s="401">
        <f>IF(ISBLANK(Actuals!CS45),-17638.14*Escalation!$B$93,Actuals!CS45)</f>
        <v/>
      </c>
      <c r="CS137" s="401">
        <f>IF(ISBLANK(Actuals!CT45),-17638.14*Escalation!$B$94,Actuals!CT45)</f>
        <v/>
      </c>
      <c r="CT137" s="401">
        <f>IF(ISBLANK(Actuals!CU45),-17638.14*Escalation!$B$95,Actuals!CU45)</f>
        <v/>
      </c>
      <c r="CU137" s="401">
        <f>IF(ISBLANK(Actuals!CV45),-17638.14*Escalation!$B$96,Actuals!CV45)</f>
        <v/>
      </c>
      <c r="CV137" s="401">
        <f>IF(ISBLANK(Actuals!CW45),-17638.14*Escalation!$B$97,Actuals!CW45)</f>
        <v/>
      </c>
      <c r="CW137" s="401">
        <f>IF(ISBLANK(Actuals!CX45),-17638.14*Escalation!$B$98,Actuals!CX45)</f>
        <v/>
      </c>
      <c r="CX137" s="401">
        <f>IF(ISBLANK(Actuals!CY45),-17638.14*Escalation!$B$99,Actuals!CY45)</f>
        <v/>
      </c>
      <c r="CY137" s="401">
        <f>IF(ISBLANK(Actuals!CZ45),-17638.14*Escalation!$B$100,Actuals!CZ45)</f>
        <v/>
      </c>
      <c r="CZ137" s="401">
        <f>IF(ISBLANK(Actuals!DA45),-17638.14*Escalation!$B$101,Actuals!DA45)</f>
        <v/>
      </c>
      <c r="DA137" s="401">
        <f>IF(ISBLANK(Actuals!DB45),-17638.14*Escalation!$B$102,Actuals!DB45)</f>
        <v/>
      </c>
      <c r="DB137" s="401">
        <f>IF(ISBLANK(Actuals!DC45),-17638.14*Escalation!$B$103,Actuals!DC45)</f>
        <v/>
      </c>
      <c r="DC137" s="401">
        <f>IF(ISBLANK(Actuals!DD45),-17638.14*Escalation!$B$104,Actuals!DD45)</f>
        <v/>
      </c>
      <c r="DD137" s="401">
        <f>IF(ISBLANK(Actuals!DE45),-17638.14*Escalation!$B$105,Actuals!DE45)</f>
        <v/>
      </c>
      <c r="DE137" s="401">
        <f>IF(ISBLANK(Actuals!DF45),-17638.14*Escalation!$B$106,Actuals!DF45)</f>
        <v/>
      </c>
    </row>
    <row r="138" ht="15" customFormat="1" customHeight="1" s="380">
      <c r="A138" s="415" t="inlineStr">
        <is>
          <t>5900-1006 Auto and Truck Expense</t>
        </is>
      </c>
      <c r="B138" s="401">
        <f>IF(ISBLANK(Actuals!C46),0,Actuals!C46)</f>
        <v/>
      </c>
      <c r="C138" s="401">
        <f>IF(ISBLANK(Actuals!D46),0,Actuals!D46)</f>
        <v/>
      </c>
      <c r="D138" s="401">
        <f>IF(ISBLANK(Actuals!E46),0,Actuals!E46)</f>
        <v/>
      </c>
      <c r="E138" s="401">
        <f>IF(ISBLANK(Actuals!F46),-1422.33*Escalation!$B$2,Actuals!F46)</f>
        <v/>
      </c>
      <c r="F138" s="401">
        <f>IF(ISBLANK(Actuals!G46),-1422.33*Escalation!$B$3,Actuals!G46)</f>
        <v/>
      </c>
      <c r="G138" s="401">
        <f>IF(ISBLANK(Actuals!H46),-1422.33*Escalation!$B$4,Actuals!H46)</f>
        <v/>
      </c>
      <c r="H138" s="401">
        <f>IF(ISBLANK(Actuals!I46),-1422.33*Escalation!$B$5,Actuals!I46)</f>
        <v/>
      </c>
      <c r="I138" s="401">
        <f>IF(ISBLANK(Actuals!J46),-1422.33*Escalation!$B$6,Actuals!J46)</f>
        <v/>
      </c>
      <c r="J138" s="401">
        <f>IF(ISBLANK(Actuals!K46),-1422.33*Escalation!$B$7,Actuals!K46)</f>
        <v/>
      </c>
      <c r="K138" s="401">
        <f>IF(ISBLANK(Actuals!L46),-1422.33*Escalation!$B$8,Actuals!L46)</f>
        <v/>
      </c>
      <c r="L138" s="401">
        <f>IF(ISBLANK(Actuals!M46),-1422.33*Escalation!$B$9,Actuals!M46)</f>
        <v/>
      </c>
      <c r="M138" s="401">
        <f>IF(ISBLANK(Actuals!N46),-1422.33*Escalation!$B$10,Actuals!N46)</f>
        <v/>
      </c>
      <c r="N138" s="401">
        <f>IF(ISBLANK(Actuals!O46),-1422.33*Escalation!$B$11,Actuals!O46)</f>
        <v/>
      </c>
      <c r="O138" s="401">
        <f>IF(ISBLANK(Actuals!P46),-1422.33*Escalation!$B$12,Actuals!P46)</f>
        <v/>
      </c>
      <c r="P138" s="401">
        <f>IF(ISBLANK(Actuals!Q46),-1422.33*Escalation!$B$13,Actuals!Q46)</f>
        <v/>
      </c>
      <c r="Q138" s="401">
        <f>IF(ISBLANK(Actuals!R46),-1422.33*Escalation!$B$14,Actuals!R46)</f>
        <v/>
      </c>
      <c r="R138" s="401">
        <f>IF(ISBLANK(Actuals!S46),-1422.33*Escalation!$B$15,Actuals!S46)</f>
        <v/>
      </c>
      <c r="S138" s="401">
        <f>IF(ISBLANK(Actuals!T46),-1422.33*Escalation!$B$16,Actuals!T46)</f>
        <v/>
      </c>
      <c r="T138" s="401">
        <f>IF(ISBLANK(Actuals!U46),-1422.33*Escalation!$B$17,Actuals!U46)</f>
        <v/>
      </c>
      <c r="U138" s="401">
        <f>IF(ISBLANK(Actuals!V46),-1422.33*Escalation!$B$18,Actuals!V46)</f>
        <v/>
      </c>
      <c r="V138" s="401">
        <f>IF(ISBLANK(Actuals!W46),-1422.33*Escalation!$B$19,Actuals!W46)</f>
        <v/>
      </c>
      <c r="W138" s="401">
        <f>IF(ISBLANK(Actuals!X46),-1422.33*Escalation!$B$20,Actuals!X46)</f>
        <v/>
      </c>
      <c r="X138" s="401">
        <f>IF(ISBLANK(Actuals!Y46),-1422.33*Escalation!$B$21,Actuals!Y46)</f>
        <v/>
      </c>
      <c r="Y138" s="401">
        <f>IF(ISBLANK(Actuals!Z46),-1422.33*Escalation!$B$22,Actuals!Z46)</f>
        <v/>
      </c>
      <c r="Z138" s="401">
        <f>IF(ISBLANK(Actuals!AA46),-1422.33*Escalation!$B$23,Actuals!AA46)</f>
        <v/>
      </c>
      <c r="AA138" s="401">
        <f>IF(ISBLANK(Actuals!AB46),-1422.33*Escalation!$B$24,Actuals!AB46)</f>
        <v/>
      </c>
      <c r="AB138" s="401">
        <f>IF(ISBLANK(Actuals!AC46),-1422.33*Escalation!$B$25,Actuals!AC46)</f>
        <v/>
      </c>
      <c r="AC138" s="401">
        <f>IF(ISBLANK(Actuals!AD46),-1422.33*Escalation!$B$26,Actuals!AD46)</f>
        <v/>
      </c>
      <c r="AD138" s="401">
        <f>IF(ISBLANK(Actuals!AE46),-1422.33*Escalation!$B$27,Actuals!AE46)</f>
        <v/>
      </c>
      <c r="AE138" s="401">
        <f>IF(ISBLANK(Actuals!AF46),-1422.33*Escalation!$B$28,Actuals!AF46)</f>
        <v/>
      </c>
      <c r="AF138" s="401">
        <f>IF(ISBLANK(Actuals!AG46),-1422.33*Escalation!$B$29,Actuals!AG46)</f>
        <v/>
      </c>
      <c r="AG138" s="401">
        <f>IF(ISBLANK(Actuals!AH46),-1422.33*Escalation!$B$30,Actuals!AH46)</f>
        <v/>
      </c>
      <c r="AH138" s="401">
        <f>IF(ISBLANK(Actuals!AI46),-1422.33*Escalation!$B$31,Actuals!AI46)</f>
        <v/>
      </c>
      <c r="AI138" s="401">
        <f>IF(ISBLANK(Actuals!AJ46),-1422.33*Escalation!$B$32,Actuals!AJ46)</f>
        <v/>
      </c>
      <c r="AJ138" s="401">
        <f>IF(ISBLANK(Actuals!AK46),-1422.33*Escalation!$B$33,Actuals!AK46)</f>
        <v/>
      </c>
      <c r="AK138" s="401">
        <f>IF(ISBLANK(Actuals!AL46),-1422.33*Escalation!$B$34,Actuals!AL46)</f>
        <v/>
      </c>
      <c r="AL138" s="401">
        <f>IF(ISBLANK(Actuals!AM46),-1422.33*Escalation!$B$35,Actuals!AM46)</f>
        <v/>
      </c>
      <c r="AM138" s="401">
        <f>IF(ISBLANK(Actuals!AN46),-1422.33*Escalation!$B$36,Actuals!AN46)</f>
        <v/>
      </c>
      <c r="AN138" s="401">
        <f>IF(ISBLANK(Actuals!AO46),-1422.33*Escalation!$B$37,Actuals!AO46)</f>
        <v/>
      </c>
      <c r="AO138" s="401">
        <f>IF(ISBLANK(Actuals!AP46),-1422.33*Escalation!$B$38,Actuals!AP46)</f>
        <v/>
      </c>
      <c r="AP138" s="401">
        <f>IF(ISBLANK(Actuals!AQ46),-1422.33*Escalation!$B$39,Actuals!AQ46)</f>
        <v/>
      </c>
      <c r="AQ138" s="401">
        <f>IF(ISBLANK(Actuals!AR46),-1422.33*Escalation!$B$40,Actuals!AR46)</f>
        <v/>
      </c>
      <c r="AR138" s="401">
        <f>IF(ISBLANK(Actuals!AS46),-1422.33*Escalation!$B$41,Actuals!AS46)</f>
        <v/>
      </c>
      <c r="AS138" s="401">
        <f>IF(ISBLANK(Actuals!AT46),-1422.33*Escalation!$B$42,Actuals!AT46)</f>
        <v/>
      </c>
      <c r="AT138" s="401">
        <f>IF(ISBLANK(Actuals!AU46),-1422.33*Escalation!$B$43,Actuals!AU46)</f>
        <v/>
      </c>
      <c r="AU138" s="401">
        <f>IF(ISBLANK(Actuals!AV46),-1422.33*Escalation!$B$44,Actuals!AV46)</f>
        <v/>
      </c>
      <c r="AV138" s="401">
        <f>IF(ISBLANK(Actuals!AW46),-1422.33*Escalation!$B$45,Actuals!AW46)</f>
        <v/>
      </c>
      <c r="AW138" s="401">
        <f>IF(ISBLANK(Actuals!AX46),-1422.33*Escalation!$B$46,Actuals!AX46)</f>
        <v/>
      </c>
      <c r="AX138" s="401">
        <f>IF(ISBLANK(Actuals!AY46),-1422.33*Escalation!$B$47,Actuals!AY46)</f>
        <v/>
      </c>
      <c r="AY138" s="401">
        <f>IF(ISBLANK(Actuals!AZ46),-1422.33*Escalation!$B$48,Actuals!AZ46)</f>
        <v/>
      </c>
      <c r="AZ138" s="401">
        <f>IF(ISBLANK(Actuals!BA46),-1422.33*Escalation!$B$49,Actuals!BA46)</f>
        <v/>
      </c>
      <c r="BA138" s="401">
        <f>IF(ISBLANK(Actuals!BB46),-1422.33*Escalation!$B$50,Actuals!BB46)</f>
        <v/>
      </c>
      <c r="BB138" s="401">
        <f>IF(ISBLANK(Actuals!BC46),-1422.33*Escalation!$B$51,Actuals!BC46)</f>
        <v/>
      </c>
      <c r="BC138" s="401">
        <f>IF(ISBLANK(Actuals!BD46),-1422.33*Escalation!$B$52,Actuals!BD46)</f>
        <v/>
      </c>
      <c r="BD138" s="401">
        <f>IF(ISBLANK(Actuals!BE46),-1422.33*Escalation!$B$53,Actuals!BE46)</f>
        <v/>
      </c>
      <c r="BE138" s="401">
        <f>IF(ISBLANK(Actuals!BF46),-1422.33*Escalation!$B$54,Actuals!BF46)</f>
        <v/>
      </c>
      <c r="BF138" s="401">
        <f>IF(ISBLANK(Actuals!BG46),-1422.33*Escalation!$B$55,Actuals!BG46)</f>
        <v/>
      </c>
      <c r="BG138" s="401">
        <f>IF(ISBLANK(Actuals!BH46),-1422.33*Escalation!$B$56,Actuals!BH46)</f>
        <v/>
      </c>
      <c r="BH138" s="401">
        <f>IF(ISBLANK(Actuals!BI46),-1422.33*Escalation!$B$57,Actuals!BI46)</f>
        <v/>
      </c>
      <c r="BI138" s="401">
        <f>IF(ISBLANK(Actuals!BJ46),-1422.33*Escalation!$B$58,Actuals!BJ46)</f>
        <v/>
      </c>
      <c r="BJ138" s="401">
        <f>IF(ISBLANK(Actuals!BK46),-1422.33*Escalation!$B$59,Actuals!BK46)</f>
        <v/>
      </c>
      <c r="BK138" s="401">
        <f>IF(ISBLANK(Actuals!BL46),-1422.33*Escalation!$B$60,Actuals!BL46)</f>
        <v/>
      </c>
      <c r="BL138" s="401">
        <f>IF(ISBLANK(Actuals!BM46),-1422.33*Escalation!$B$61,Actuals!BM46)</f>
        <v/>
      </c>
      <c r="BM138" s="401">
        <f>IF(ISBLANK(Actuals!BN46),-1422.33*Escalation!$B$62,Actuals!BN46)</f>
        <v/>
      </c>
      <c r="BN138" s="401">
        <f>IF(ISBLANK(Actuals!BO46),-1422.33*Escalation!$B$63,Actuals!BO46)</f>
        <v/>
      </c>
      <c r="BO138" s="401">
        <f>IF(ISBLANK(Actuals!BP46),-1422.33*Escalation!$B$64,Actuals!BP46)</f>
        <v/>
      </c>
      <c r="BP138" s="401">
        <f>IF(ISBLANK(Actuals!BQ46),-1422.33*Escalation!$B$65,Actuals!BQ46)</f>
        <v/>
      </c>
      <c r="BQ138" s="401">
        <f>IF(ISBLANK(Actuals!BR46),-1422.33*Escalation!$B$66,Actuals!BR46)</f>
        <v/>
      </c>
      <c r="BR138" s="401">
        <f>IF(ISBLANK(Actuals!BS46),-1422.33*Escalation!$B$67,Actuals!BS46)</f>
        <v/>
      </c>
      <c r="BS138" s="401">
        <f>IF(ISBLANK(Actuals!BT46),-1422.33*Escalation!$B$68,Actuals!BT46)</f>
        <v/>
      </c>
      <c r="BT138" s="401">
        <f>IF(ISBLANK(Actuals!BU46),-1422.33*Escalation!$B$69,Actuals!BU46)</f>
        <v/>
      </c>
      <c r="BU138" s="401">
        <f>IF(ISBLANK(Actuals!BV46),-1422.33*Escalation!$B$70,Actuals!BV46)</f>
        <v/>
      </c>
      <c r="BV138" s="401">
        <f>IF(ISBLANK(Actuals!BW46),-1422.33*Escalation!$B$71,Actuals!BW46)</f>
        <v/>
      </c>
      <c r="BW138" s="401">
        <f>IF(ISBLANK(Actuals!BX46),-1422.33*Escalation!$B$72,Actuals!BX46)</f>
        <v/>
      </c>
      <c r="BX138" s="401">
        <f>IF(ISBLANK(Actuals!BY46),-1422.33*Escalation!$B$73,Actuals!BY46)</f>
        <v/>
      </c>
      <c r="BY138" s="401">
        <f>IF(ISBLANK(Actuals!BZ46),-1422.33*Escalation!$B$74,Actuals!BZ46)</f>
        <v/>
      </c>
      <c r="BZ138" s="401">
        <f>IF(ISBLANK(Actuals!CA46),-1422.33*Escalation!$B$75,Actuals!CA46)</f>
        <v/>
      </c>
      <c r="CA138" s="401">
        <f>IF(ISBLANK(Actuals!CB46),-1422.33*Escalation!$B$76,Actuals!CB46)</f>
        <v/>
      </c>
      <c r="CB138" s="401">
        <f>IF(ISBLANK(Actuals!CC46),-1422.33*Escalation!$B$77,Actuals!CC46)</f>
        <v/>
      </c>
      <c r="CC138" s="401">
        <f>IF(ISBLANK(Actuals!CD46),-1422.33*Escalation!$B$78,Actuals!CD46)</f>
        <v/>
      </c>
      <c r="CD138" s="401">
        <f>IF(ISBLANK(Actuals!CE46),-1422.33*Escalation!$B$79,Actuals!CE46)</f>
        <v/>
      </c>
      <c r="CE138" s="401">
        <f>IF(ISBLANK(Actuals!CF46),-1422.33*Escalation!$B$80,Actuals!CF46)</f>
        <v/>
      </c>
      <c r="CF138" s="401">
        <f>IF(ISBLANK(Actuals!CG46),-1422.33*Escalation!$B$81,Actuals!CG46)</f>
        <v/>
      </c>
      <c r="CG138" s="401">
        <f>IF(ISBLANK(Actuals!CH46),-1422.33*Escalation!$B$82,Actuals!CH46)</f>
        <v/>
      </c>
      <c r="CH138" s="401">
        <f>IF(ISBLANK(Actuals!CI46),-1422.33*Escalation!$B$83,Actuals!CI46)</f>
        <v/>
      </c>
      <c r="CI138" s="401">
        <f>IF(ISBLANK(Actuals!CJ46),-1422.33*Escalation!$B$84,Actuals!CJ46)</f>
        <v/>
      </c>
      <c r="CJ138" s="401">
        <f>IF(ISBLANK(Actuals!CK46),-1422.33*Escalation!$B$85,Actuals!CK46)</f>
        <v/>
      </c>
      <c r="CK138" s="401">
        <f>IF(ISBLANK(Actuals!CL46),-1422.33*Escalation!$B$86,Actuals!CL46)</f>
        <v/>
      </c>
      <c r="CL138" s="401">
        <f>IF(ISBLANK(Actuals!CM46),-1422.33*Escalation!$B$87,Actuals!CM46)</f>
        <v/>
      </c>
      <c r="CM138" s="401">
        <f>IF(ISBLANK(Actuals!CN46),-1422.33*Escalation!$B$88,Actuals!CN46)</f>
        <v/>
      </c>
      <c r="CN138" s="401">
        <f>IF(ISBLANK(Actuals!CO46),-1422.33*Escalation!$B$89,Actuals!CO46)</f>
        <v/>
      </c>
      <c r="CO138" s="401">
        <f>IF(ISBLANK(Actuals!CP46),-1422.33*Escalation!$B$90,Actuals!CP46)</f>
        <v/>
      </c>
      <c r="CP138" s="401">
        <f>IF(ISBLANK(Actuals!CQ46),-1422.33*Escalation!$B$91,Actuals!CQ46)</f>
        <v/>
      </c>
      <c r="CQ138" s="401">
        <f>IF(ISBLANK(Actuals!CR46),-1422.33*Escalation!$B$92,Actuals!CR46)</f>
        <v/>
      </c>
      <c r="CR138" s="401">
        <f>IF(ISBLANK(Actuals!CS46),-1422.33*Escalation!$B$93,Actuals!CS46)</f>
        <v/>
      </c>
      <c r="CS138" s="401">
        <f>IF(ISBLANK(Actuals!CT46),-1422.33*Escalation!$B$94,Actuals!CT46)</f>
        <v/>
      </c>
      <c r="CT138" s="401">
        <f>IF(ISBLANK(Actuals!CU46),-1422.33*Escalation!$B$95,Actuals!CU46)</f>
        <v/>
      </c>
      <c r="CU138" s="401">
        <f>IF(ISBLANK(Actuals!CV46),-1422.33*Escalation!$B$96,Actuals!CV46)</f>
        <v/>
      </c>
      <c r="CV138" s="401">
        <f>IF(ISBLANK(Actuals!CW46),-1422.33*Escalation!$B$97,Actuals!CW46)</f>
        <v/>
      </c>
      <c r="CW138" s="401">
        <f>IF(ISBLANK(Actuals!CX46),-1422.33*Escalation!$B$98,Actuals!CX46)</f>
        <v/>
      </c>
      <c r="CX138" s="401">
        <f>IF(ISBLANK(Actuals!CY46),-1422.33*Escalation!$B$99,Actuals!CY46)</f>
        <v/>
      </c>
      <c r="CY138" s="401">
        <f>IF(ISBLANK(Actuals!CZ46),-1422.33*Escalation!$B$100,Actuals!CZ46)</f>
        <v/>
      </c>
      <c r="CZ138" s="401">
        <f>IF(ISBLANK(Actuals!DA46),-1422.33*Escalation!$B$101,Actuals!DA46)</f>
        <v/>
      </c>
      <c r="DA138" s="401">
        <f>IF(ISBLANK(Actuals!DB46),-1422.33*Escalation!$B$102,Actuals!DB46)</f>
        <v/>
      </c>
      <c r="DB138" s="401">
        <f>IF(ISBLANK(Actuals!DC46),-1422.33*Escalation!$B$103,Actuals!DC46)</f>
        <v/>
      </c>
      <c r="DC138" s="401">
        <f>IF(ISBLANK(Actuals!DD46),-1422.33*Escalation!$B$104,Actuals!DD46)</f>
        <v/>
      </c>
      <c r="DD138" s="401">
        <f>IF(ISBLANK(Actuals!DE46),-1422.33*Escalation!$B$105,Actuals!DE46)</f>
        <v/>
      </c>
      <c r="DE138" s="401">
        <f>IF(ISBLANK(Actuals!DF46),-1422.33*Escalation!$B$106,Actuals!DF46)</f>
        <v/>
      </c>
    </row>
    <row r="139" ht="15" customFormat="1" customHeight="1" s="380">
      <c r="A139" s="415" t="inlineStr">
        <is>
          <t>5900-1007 Landscaping</t>
        </is>
      </c>
      <c r="B139" s="401">
        <f>IF(ISBLANK(Actuals!C47),0,Actuals!C47)</f>
        <v/>
      </c>
      <c r="C139" s="401">
        <f>IF(ISBLANK(Actuals!D47),0,Actuals!D47)</f>
        <v/>
      </c>
      <c r="D139" s="401">
        <f>IF(ISBLANK(Actuals!E47),0,Actuals!E47)</f>
        <v/>
      </c>
      <c r="E139" s="401">
        <f>IF(ISBLANK(Actuals!F47),-160*Escalation!$B$2,Actuals!F47)</f>
        <v/>
      </c>
      <c r="F139" s="401">
        <f>IF(ISBLANK(Actuals!G47),-160*Escalation!$B$3,Actuals!G47)</f>
        <v/>
      </c>
      <c r="G139" s="401">
        <f>IF(ISBLANK(Actuals!H47),-160*Escalation!$B$4,Actuals!H47)</f>
        <v/>
      </c>
      <c r="H139" s="401">
        <f>IF(ISBLANK(Actuals!I47),-160*Escalation!$B$5,Actuals!I47)</f>
        <v/>
      </c>
      <c r="I139" s="401">
        <f>IF(ISBLANK(Actuals!J47),-160*Escalation!$B$6,Actuals!J47)</f>
        <v/>
      </c>
      <c r="J139" s="401">
        <f>IF(ISBLANK(Actuals!K47),-160*Escalation!$B$7,Actuals!K47)</f>
        <v/>
      </c>
      <c r="K139" s="401">
        <f>IF(ISBLANK(Actuals!L47),-160*Escalation!$B$8,Actuals!L47)</f>
        <v/>
      </c>
      <c r="L139" s="401">
        <f>IF(ISBLANK(Actuals!M47),-160*Escalation!$B$9,Actuals!M47)</f>
        <v/>
      </c>
      <c r="M139" s="401">
        <f>IF(ISBLANK(Actuals!N47),-160*Escalation!$B$10,Actuals!N47)</f>
        <v/>
      </c>
      <c r="N139" s="401">
        <f>IF(ISBLANK(Actuals!O47),-160*Escalation!$B$11,Actuals!O47)</f>
        <v/>
      </c>
      <c r="O139" s="401">
        <f>IF(ISBLANK(Actuals!P47),-160*Escalation!$B$12,Actuals!P47)</f>
        <v/>
      </c>
      <c r="P139" s="401">
        <f>IF(ISBLANK(Actuals!Q47),-160*Escalation!$B$13,Actuals!Q47)</f>
        <v/>
      </c>
      <c r="Q139" s="401">
        <f>IF(ISBLANK(Actuals!R47),-160*Escalation!$B$14,Actuals!R47)</f>
        <v/>
      </c>
      <c r="R139" s="401">
        <f>IF(ISBLANK(Actuals!S47),-160*Escalation!$B$15,Actuals!S47)</f>
        <v/>
      </c>
      <c r="S139" s="401">
        <f>IF(ISBLANK(Actuals!T47),-160*Escalation!$B$16,Actuals!T47)</f>
        <v/>
      </c>
      <c r="T139" s="401">
        <f>IF(ISBLANK(Actuals!U47),-160*Escalation!$B$17,Actuals!U47)</f>
        <v/>
      </c>
      <c r="U139" s="401">
        <f>IF(ISBLANK(Actuals!V47),-160*Escalation!$B$18,Actuals!V47)</f>
        <v/>
      </c>
      <c r="V139" s="401">
        <f>IF(ISBLANK(Actuals!W47),-160*Escalation!$B$19,Actuals!W47)</f>
        <v/>
      </c>
      <c r="W139" s="401">
        <f>IF(ISBLANK(Actuals!X47),-160*Escalation!$B$20,Actuals!X47)</f>
        <v/>
      </c>
      <c r="X139" s="401">
        <f>IF(ISBLANK(Actuals!Y47),-160*Escalation!$B$21,Actuals!Y47)</f>
        <v/>
      </c>
      <c r="Y139" s="401">
        <f>IF(ISBLANK(Actuals!Z47),-160*Escalation!$B$22,Actuals!Z47)</f>
        <v/>
      </c>
      <c r="Z139" s="401">
        <f>IF(ISBLANK(Actuals!AA47),-160*Escalation!$B$23,Actuals!AA47)</f>
        <v/>
      </c>
      <c r="AA139" s="401">
        <f>IF(ISBLANK(Actuals!AB47),-160*Escalation!$B$24,Actuals!AB47)</f>
        <v/>
      </c>
      <c r="AB139" s="401">
        <f>IF(ISBLANK(Actuals!AC47),-160*Escalation!$B$25,Actuals!AC47)</f>
        <v/>
      </c>
      <c r="AC139" s="401">
        <f>IF(ISBLANK(Actuals!AD47),-160*Escalation!$B$26,Actuals!AD47)</f>
        <v/>
      </c>
      <c r="AD139" s="401">
        <f>IF(ISBLANK(Actuals!AE47),-160*Escalation!$B$27,Actuals!AE47)</f>
        <v/>
      </c>
      <c r="AE139" s="401">
        <f>IF(ISBLANK(Actuals!AF47),-160*Escalation!$B$28,Actuals!AF47)</f>
        <v/>
      </c>
      <c r="AF139" s="401">
        <f>IF(ISBLANK(Actuals!AG47),-160*Escalation!$B$29,Actuals!AG47)</f>
        <v/>
      </c>
      <c r="AG139" s="401">
        <f>IF(ISBLANK(Actuals!AH47),-160*Escalation!$B$30,Actuals!AH47)</f>
        <v/>
      </c>
      <c r="AH139" s="401">
        <f>IF(ISBLANK(Actuals!AI47),-160*Escalation!$B$31,Actuals!AI47)</f>
        <v/>
      </c>
      <c r="AI139" s="401">
        <f>IF(ISBLANK(Actuals!AJ47),-160*Escalation!$B$32,Actuals!AJ47)</f>
        <v/>
      </c>
      <c r="AJ139" s="401">
        <f>IF(ISBLANK(Actuals!AK47),-160*Escalation!$B$33,Actuals!AK47)</f>
        <v/>
      </c>
      <c r="AK139" s="401">
        <f>IF(ISBLANK(Actuals!AL47),-160*Escalation!$B$34,Actuals!AL47)</f>
        <v/>
      </c>
      <c r="AL139" s="401">
        <f>IF(ISBLANK(Actuals!AM47),-160*Escalation!$B$35,Actuals!AM47)</f>
        <v/>
      </c>
      <c r="AM139" s="401">
        <f>IF(ISBLANK(Actuals!AN47),-160*Escalation!$B$36,Actuals!AN47)</f>
        <v/>
      </c>
      <c r="AN139" s="401">
        <f>IF(ISBLANK(Actuals!AO47),-160*Escalation!$B$37,Actuals!AO47)</f>
        <v/>
      </c>
      <c r="AO139" s="401">
        <f>IF(ISBLANK(Actuals!AP47),-160*Escalation!$B$38,Actuals!AP47)</f>
        <v/>
      </c>
      <c r="AP139" s="401">
        <f>IF(ISBLANK(Actuals!AQ47),-160*Escalation!$B$39,Actuals!AQ47)</f>
        <v/>
      </c>
      <c r="AQ139" s="401">
        <f>IF(ISBLANK(Actuals!AR47),-160*Escalation!$B$40,Actuals!AR47)</f>
        <v/>
      </c>
      <c r="AR139" s="401">
        <f>IF(ISBLANK(Actuals!AS47),-160*Escalation!$B$41,Actuals!AS47)</f>
        <v/>
      </c>
      <c r="AS139" s="401">
        <f>IF(ISBLANK(Actuals!AT47),-160*Escalation!$B$42,Actuals!AT47)</f>
        <v/>
      </c>
      <c r="AT139" s="401">
        <f>IF(ISBLANK(Actuals!AU47),-160*Escalation!$B$43,Actuals!AU47)</f>
        <v/>
      </c>
      <c r="AU139" s="401">
        <f>IF(ISBLANK(Actuals!AV47),-160*Escalation!$B$44,Actuals!AV47)</f>
        <v/>
      </c>
      <c r="AV139" s="401">
        <f>IF(ISBLANK(Actuals!AW47),-160*Escalation!$B$45,Actuals!AW47)</f>
        <v/>
      </c>
      <c r="AW139" s="401">
        <f>IF(ISBLANK(Actuals!AX47),-160*Escalation!$B$46,Actuals!AX47)</f>
        <v/>
      </c>
      <c r="AX139" s="401">
        <f>IF(ISBLANK(Actuals!AY47),-160*Escalation!$B$47,Actuals!AY47)</f>
        <v/>
      </c>
      <c r="AY139" s="401">
        <f>IF(ISBLANK(Actuals!AZ47),-160*Escalation!$B$48,Actuals!AZ47)</f>
        <v/>
      </c>
      <c r="AZ139" s="401">
        <f>IF(ISBLANK(Actuals!BA47),-160*Escalation!$B$49,Actuals!BA47)</f>
        <v/>
      </c>
      <c r="BA139" s="401">
        <f>IF(ISBLANK(Actuals!BB47),-160*Escalation!$B$50,Actuals!BB47)</f>
        <v/>
      </c>
      <c r="BB139" s="401">
        <f>IF(ISBLANK(Actuals!BC47),-160*Escalation!$B$51,Actuals!BC47)</f>
        <v/>
      </c>
      <c r="BC139" s="401">
        <f>IF(ISBLANK(Actuals!BD47),-160*Escalation!$B$52,Actuals!BD47)</f>
        <v/>
      </c>
      <c r="BD139" s="401">
        <f>IF(ISBLANK(Actuals!BE47),-160*Escalation!$B$53,Actuals!BE47)</f>
        <v/>
      </c>
      <c r="BE139" s="401">
        <f>IF(ISBLANK(Actuals!BF47),-160*Escalation!$B$54,Actuals!BF47)</f>
        <v/>
      </c>
      <c r="BF139" s="401">
        <f>IF(ISBLANK(Actuals!BG47),-160*Escalation!$B$55,Actuals!BG47)</f>
        <v/>
      </c>
      <c r="BG139" s="401">
        <f>IF(ISBLANK(Actuals!BH47),-160*Escalation!$B$56,Actuals!BH47)</f>
        <v/>
      </c>
      <c r="BH139" s="401">
        <f>IF(ISBLANK(Actuals!BI47),-160*Escalation!$B$57,Actuals!BI47)</f>
        <v/>
      </c>
      <c r="BI139" s="401">
        <f>IF(ISBLANK(Actuals!BJ47),-160*Escalation!$B$58,Actuals!BJ47)</f>
        <v/>
      </c>
      <c r="BJ139" s="401">
        <f>IF(ISBLANK(Actuals!BK47),-160*Escalation!$B$59,Actuals!BK47)</f>
        <v/>
      </c>
      <c r="BK139" s="401">
        <f>IF(ISBLANK(Actuals!BL47),-160*Escalation!$B$60,Actuals!BL47)</f>
        <v/>
      </c>
      <c r="BL139" s="401">
        <f>IF(ISBLANK(Actuals!BM47),-160*Escalation!$B$61,Actuals!BM47)</f>
        <v/>
      </c>
      <c r="BM139" s="401">
        <f>IF(ISBLANK(Actuals!BN47),-160*Escalation!$B$62,Actuals!BN47)</f>
        <v/>
      </c>
      <c r="BN139" s="401">
        <f>IF(ISBLANK(Actuals!BO47),-160*Escalation!$B$63,Actuals!BO47)</f>
        <v/>
      </c>
      <c r="BO139" s="401">
        <f>IF(ISBLANK(Actuals!BP47),-160*Escalation!$B$64,Actuals!BP47)</f>
        <v/>
      </c>
      <c r="BP139" s="401">
        <f>IF(ISBLANK(Actuals!BQ47),-160*Escalation!$B$65,Actuals!BQ47)</f>
        <v/>
      </c>
      <c r="BQ139" s="401">
        <f>IF(ISBLANK(Actuals!BR47),-160*Escalation!$B$66,Actuals!BR47)</f>
        <v/>
      </c>
      <c r="BR139" s="401">
        <f>IF(ISBLANK(Actuals!BS47),-160*Escalation!$B$67,Actuals!BS47)</f>
        <v/>
      </c>
      <c r="BS139" s="401">
        <f>IF(ISBLANK(Actuals!BT47),-160*Escalation!$B$68,Actuals!BT47)</f>
        <v/>
      </c>
      <c r="BT139" s="401">
        <f>IF(ISBLANK(Actuals!BU47),-160*Escalation!$B$69,Actuals!BU47)</f>
        <v/>
      </c>
      <c r="BU139" s="401">
        <f>IF(ISBLANK(Actuals!BV47),-160*Escalation!$B$70,Actuals!BV47)</f>
        <v/>
      </c>
      <c r="BV139" s="401">
        <f>IF(ISBLANK(Actuals!BW47),-160*Escalation!$B$71,Actuals!BW47)</f>
        <v/>
      </c>
      <c r="BW139" s="401">
        <f>IF(ISBLANK(Actuals!BX47),-160*Escalation!$B$72,Actuals!BX47)</f>
        <v/>
      </c>
      <c r="BX139" s="401">
        <f>IF(ISBLANK(Actuals!BY47),-160*Escalation!$B$73,Actuals!BY47)</f>
        <v/>
      </c>
      <c r="BY139" s="401">
        <f>IF(ISBLANK(Actuals!BZ47),-160*Escalation!$B$74,Actuals!BZ47)</f>
        <v/>
      </c>
      <c r="BZ139" s="401">
        <f>IF(ISBLANK(Actuals!CA47),-160*Escalation!$B$75,Actuals!CA47)</f>
        <v/>
      </c>
      <c r="CA139" s="401">
        <f>IF(ISBLANK(Actuals!CB47),-160*Escalation!$B$76,Actuals!CB47)</f>
        <v/>
      </c>
      <c r="CB139" s="401">
        <f>IF(ISBLANK(Actuals!CC47),-160*Escalation!$B$77,Actuals!CC47)</f>
        <v/>
      </c>
      <c r="CC139" s="401">
        <f>IF(ISBLANK(Actuals!CD47),-160*Escalation!$B$78,Actuals!CD47)</f>
        <v/>
      </c>
      <c r="CD139" s="401">
        <f>IF(ISBLANK(Actuals!CE47),-160*Escalation!$B$79,Actuals!CE47)</f>
        <v/>
      </c>
      <c r="CE139" s="401">
        <f>IF(ISBLANK(Actuals!CF47),-160*Escalation!$B$80,Actuals!CF47)</f>
        <v/>
      </c>
      <c r="CF139" s="401">
        <f>IF(ISBLANK(Actuals!CG47),-160*Escalation!$B$81,Actuals!CG47)</f>
        <v/>
      </c>
      <c r="CG139" s="401">
        <f>IF(ISBLANK(Actuals!CH47),-160*Escalation!$B$82,Actuals!CH47)</f>
        <v/>
      </c>
      <c r="CH139" s="401">
        <f>IF(ISBLANK(Actuals!CI47),-160*Escalation!$B$83,Actuals!CI47)</f>
        <v/>
      </c>
      <c r="CI139" s="401">
        <f>IF(ISBLANK(Actuals!CJ47),-160*Escalation!$B$84,Actuals!CJ47)</f>
        <v/>
      </c>
      <c r="CJ139" s="401">
        <f>IF(ISBLANK(Actuals!CK47),-160*Escalation!$B$85,Actuals!CK47)</f>
        <v/>
      </c>
      <c r="CK139" s="401">
        <f>IF(ISBLANK(Actuals!CL47),-160*Escalation!$B$86,Actuals!CL47)</f>
        <v/>
      </c>
      <c r="CL139" s="401">
        <f>IF(ISBLANK(Actuals!CM47),-160*Escalation!$B$87,Actuals!CM47)</f>
        <v/>
      </c>
      <c r="CM139" s="401">
        <f>IF(ISBLANK(Actuals!CN47),-160*Escalation!$B$88,Actuals!CN47)</f>
        <v/>
      </c>
      <c r="CN139" s="401">
        <f>IF(ISBLANK(Actuals!CO47),-160*Escalation!$B$89,Actuals!CO47)</f>
        <v/>
      </c>
      <c r="CO139" s="401">
        <f>IF(ISBLANK(Actuals!CP47),-160*Escalation!$B$90,Actuals!CP47)</f>
        <v/>
      </c>
      <c r="CP139" s="401">
        <f>IF(ISBLANK(Actuals!CQ47),-160*Escalation!$B$91,Actuals!CQ47)</f>
        <v/>
      </c>
      <c r="CQ139" s="401">
        <f>IF(ISBLANK(Actuals!CR47),-160*Escalation!$B$92,Actuals!CR47)</f>
        <v/>
      </c>
      <c r="CR139" s="401">
        <f>IF(ISBLANK(Actuals!CS47),-160*Escalation!$B$93,Actuals!CS47)</f>
        <v/>
      </c>
      <c r="CS139" s="401">
        <f>IF(ISBLANK(Actuals!CT47),-160*Escalation!$B$94,Actuals!CT47)</f>
        <v/>
      </c>
      <c r="CT139" s="401">
        <f>IF(ISBLANK(Actuals!CU47),-160*Escalation!$B$95,Actuals!CU47)</f>
        <v/>
      </c>
      <c r="CU139" s="401">
        <f>IF(ISBLANK(Actuals!CV47),-160*Escalation!$B$96,Actuals!CV47)</f>
        <v/>
      </c>
      <c r="CV139" s="401">
        <f>IF(ISBLANK(Actuals!CW47),-160*Escalation!$B$97,Actuals!CW47)</f>
        <v/>
      </c>
      <c r="CW139" s="401">
        <f>IF(ISBLANK(Actuals!CX47),-160*Escalation!$B$98,Actuals!CX47)</f>
        <v/>
      </c>
      <c r="CX139" s="401">
        <f>IF(ISBLANK(Actuals!CY47),-160*Escalation!$B$99,Actuals!CY47)</f>
        <v/>
      </c>
      <c r="CY139" s="401">
        <f>IF(ISBLANK(Actuals!CZ47),-160*Escalation!$B$100,Actuals!CZ47)</f>
        <v/>
      </c>
      <c r="CZ139" s="401">
        <f>IF(ISBLANK(Actuals!DA47),-160*Escalation!$B$101,Actuals!DA47)</f>
        <v/>
      </c>
      <c r="DA139" s="401">
        <f>IF(ISBLANK(Actuals!DB47),-160*Escalation!$B$102,Actuals!DB47)</f>
        <v/>
      </c>
      <c r="DB139" s="401">
        <f>IF(ISBLANK(Actuals!DC47),-160*Escalation!$B$103,Actuals!DC47)</f>
        <v/>
      </c>
      <c r="DC139" s="401">
        <f>IF(ISBLANK(Actuals!DD47),-160*Escalation!$B$104,Actuals!DD47)</f>
        <v/>
      </c>
      <c r="DD139" s="401">
        <f>IF(ISBLANK(Actuals!DE47),-160*Escalation!$B$105,Actuals!DE47)</f>
        <v/>
      </c>
      <c r="DE139" s="401">
        <f>IF(ISBLANK(Actuals!DF47),-160*Escalation!$B$106,Actuals!DF47)</f>
        <v/>
      </c>
    </row>
    <row r="140" ht="15" customFormat="1" customHeight="1" s="380">
      <c r="A140" s="415" t="inlineStr">
        <is>
          <t>5900-1040 Warranty and Other Job Adjustments</t>
        </is>
      </c>
      <c r="B140" s="401">
        <f>IF(ISBLANK(Actuals!C48),0,Actuals!C48)</f>
        <v/>
      </c>
      <c r="C140" s="401">
        <f>IF(ISBLANK(Actuals!D48),0,Actuals!D48)</f>
        <v/>
      </c>
      <c r="D140" s="401">
        <f>IF(ISBLANK(Actuals!E48),0,Actuals!E48)</f>
        <v/>
      </c>
      <c r="E140" s="401">
        <f>IF(ISBLANK(Actuals!F48),-5000*Escalation!$B$2,Actuals!F48)</f>
        <v/>
      </c>
      <c r="F140" s="401">
        <f>IF(ISBLANK(Actuals!G48),-5000*Escalation!$B$3,Actuals!G48)</f>
        <v/>
      </c>
      <c r="G140" s="401">
        <f>IF(ISBLANK(Actuals!H48),-5000*Escalation!$B$4,Actuals!H48)</f>
        <v/>
      </c>
      <c r="H140" s="401">
        <f>IF(ISBLANK(Actuals!I48),-5000*Escalation!$B$5,Actuals!I48)</f>
        <v/>
      </c>
      <c r="I140" s="401">
        <f>IF(ISBLANK(Actuals!J48),-5000*Escalation!$B$6,Actuals!J48)</f>
        <v/>
      </c>
      <c r="J140" s="401">
        <f>IF(ISBLANK(Actuals!K48),-5000*Escalation!$B$7,Actuals!K48)</f>
        <v/>
      </c>
      <c r="K140" s="401">
        <f>IF(ISBLANK(Actuals!L48),-5000*Escalation!$B$8,Actuals!L48)</f>
        <v/>
      </c>
      <c r="L140" s="401">
        <f>IF(ISBLANK(Actuals!M48),-5000*Escalation!$B$9,Actuals!M48)</f>
        <v/>
      </c>
      <c r="M140" s="401">
        <f>IF(ISBLANK(Actuals!N48),-5000*Escalation!$B$10,Actuals!N48)</f>
        <v/>
      </c>
      <c r="N140" s="401">
        <f>IF(ISBLANK(Actuals!O48),-5000*Escalation!$B$11,Actuals!O48)</f>
        <v/>
      </c>
      <c r="O140" s="401">
        <f>IF(ISBLANK(Actuals!P48),-5000*Escalation!$B$12,Actuals!P48)</f>
        <v/>
      </c>
      <c r="P140" s="401">
        <f>IF(ISBLANK(Actuals!Q48),-5000*Escalation!$B$13,Actuals!Q48)</f>
        <v/>
      </c>
      <c r="Q140" s="401">
        <f>IF(ISBLANK(Actuals!R48),-5000*Escalation!$B$14,Actuals!R48)</f>
        <v/>
      </c>
      <c r="R140" s="401">
        <f>IF(ISBLANK(Actuals!S48),-5000*Escalation!$B$15,Actuals!S48)</f>
        <v/>
      </c>
      <c r="S140" s="401">
        <f>IF(ISBLANK(Actuals!T48),-5000*Escalation!$B$16,Actuals!T48)</f>
        <v/>
      </c>
      <c r="T140" s="401">
        <f>IF(ISBLANK(Actuals!U48),-5000*Escalation!$B$17,Actuals!U48)</f>
        <v/>
      </c>
      <c r="U140" s="401">
        <f>IF(ISBLANK(Actuals!V48),-5000*Escalation!$B$18,Actuals!V48)</f>
        <v/>
      </c>
      <c r="V140" s="401">
        <f>IF(ISBLANK(Actuals!W48),-5000*Escalation!$B$19,Actuals!W48)</f>
        <v/>
      </c>
      <c r="W140" s="401">
        <f>IF(ISBLANK(Actuals!X48),-5000*Escalation!$B$20,Actuals!X48)</f>
        <v/>
      </c>
      <c r="X140" s="401">
        <f>IF(ISBLANK(Actuals!Y48),-5000*Escalation!$B$21,Actuals!Y48)</f>
        <v/>
      </c>
      <c r="Y140" s="401">
        <f>IF(ISBLANK(Actuals!Z48),-5000*Escalation!$B$22,Actuals!Z48)</f>
        <v/>
      </c>
      <c r="Z140" s="401">
        <f>IF(ISBLANK(Actuals!AA48),-5000*Escalation!$B$23,Actuals!AA48)</f>
        <v/>
      </c>
      <c r="AA140" s="401">
        <f>IF(ISBLANK(Actuals!AB48),-5000*Escalation!$B$24,Actuals!AB48)</f>
        <v/>
      </c>
      <c r="AB140" s="401">
        <f>IF(ISBLANK(Actuals!AC48),-5000*Escalation!$B$25,Actuals!AC48)</f>
        <v/>
      </c>
      <c r="AC140" s="401">
        <f>IF(ISBLANK(Actuals!AD48),-5000*Escalation!$B$26,Actuals!AD48)</f>
        <v/>
      </c>
      <c r="AD140" s="401">
        <f>IF(ISBLANK(Actuals!AE48),-5000*Escalation!$B$27,Actuals!AE48)</f>
        <v/>
      </c>
      <c r="AE140" s="401">
        <f>IF(ISBLANK(Actuals!AF48),-5000*Escalation!$B$28,Actuals!AF48)</f>
        <v/>
      </c>
      <c r="AF140" s="401">
        <f>IF(ISBLANK(Actuals!AG48),-5000*Escalation!$B$29,Actuals!AG48)</f>
        <v/>
      </c>
      <c r="AG140" s="401">
        <f>IF(ISBLANK(Actuals!AH48),-5000*Escalation!$B$30,Actuals!AH48)</f>
        <v/>
      </c>
      <c r="AH140" s="401">
        <f>IF(ISBLANK(Actuals!AI48),-5000*Escalation!$B$31,Actuals!AI48)</f>
        <v/>
      </c>
      <c r="AI140" s="401">
        <f>IF(ISBLANK(Actuals!AJ48),-5000*Escalation!$B$32,Actuals!AJ48)</f>
        <v/>
      </c>
      <c r="AJ140" s="401">
        <f>IF(ISBLANK(Actuals!AK48),-5000*Escalation!$B$33,Actuals!AK48)</f>
        <v/>
      </c>
      <c r="AK140" s="401">
        <f>IF(ISBLANK(Actuals!AL48),-5000*Escalation!$B$34,Actuals!AL48)</f>
        <v/>
      </c>
      <c r="AL140" s="401">
        <f>IF(ISBLANK(Actuals!AM48),-5000*Escalation!$B$35,Actuals!AM48)</f>
        <v/>
      </c>
      <c r="AM140" s="401">
        <f>IF(ISBLANK(Actuals!AN48),-5000*Escalation!$B$36,Actuals!AN48)</f>
        <v/>
      </c>
      <c r="AN140" s="401">
        <f>IF(ISBLANK(Actuals!AO48),-5000*Escalation!$B$37,Actuals!AO48)</f>
        <v/>
      </c>
      <c r="AO140" s="401">
        <f>IF(ISBLANK(Actuals!AP48),-5000*Escalation!$B$38,Actuals!AP48)</f>
        <v/>
      </c>
      <c r="AP140" s="401">
        <f>IF(ISBLANK(Actuals!AQ48),-5000*Escalation!$B$39,Actuals!AQ48)</f>
        <v/>
      </c>
      <c r="AQ140" s="401">
        <f>IF(ISBLANK(Actuals!AR48),-5000*Escalation!$B$40,Actuals!AR48)</f>
        <v/>
      </c>
      <c r="AR140" s="401">
        <f>IF(ISBLANK(Actuals!AS48),-5000*Escalation!$B$41,Actuals!AS48)</f>
        <v/>
      </c>
      <c r="AS140" s="401">
        <f>IF(ISBLANK(Actuals!AT48),-5000*Escalation!$B$42,Actuals!AT48)</f>
        <v/>
      </c>
      <c r="AT140" s="401">
        <f>IF(ISBLANK(Actuals!AU48),-5000*Escalation!$B$43,Actuals!AU48)</f>
        <v/>
      </c>
      <c r="AU140" s="401">
        <f>IF(ISBLANK(Actuals!AV48),-5000*Escalation!$B$44,Actuals!AV48)</f>
        <v/>
      </c>
      <c r="AV140" s="401">
        <f>IF(ISBLANK(Actuals!AW48),-5000*Escalation!$B$45,Actuals!AW48)</f>
        <v/>
      </c>
      <c r="AW140" s="401">
        <f>IF(ISBLANK(Actuals!AX48),-5000*Escalation!$B$46,Actuals!AX48)</f>
        <v/>
      </c>
      <c r="AX140" s="401">
        <f>IF(ISBLANK(Actuals!AY48),-5000*Escalation!$B$47,Actuals!AY48)</f>
        <v/>
      </c>
      <c r="AY140" s="401">
        <f>IF(ISBLANK(Actuals!AZ48),-5000*Escalation!$B$48,Actuals!AZ48)</f>
        <v/>
      </c>
      <c r="AZ140" s="401">
        <f>IF(ISBLANK(Actuals!BA48),-5000*Escalation!$B$49,Actuals!BA48)</f>
        <v/>
      </c>
      <c r="BA140" s="401">
        <f>IF(ISBLANK(Actuals!BB48),-5000*Escalation!$B$50,Actuals!BB48)</f>
        <v/>
      </c>
      <c r="BB140" s="401">
        <f>IF(ISBLANK(Actuals!BC48),-5000*Escalation!$B$51,Actuals!BC48)</f>
        <v/>
      </c>
      <c r="BC140" s="401">
        <f>IF(ISBLANK(Actuals!BD48),-5000*Escalation!$B$52,Actuals!BD48)</f>
        <v/>
      </c>
      <c r="BD140" s="401">
        <f>IF(ISBLANK(Actuals!BE48),-5000*Escalation!$B$53,Actuals!BE48)</f>
        <v/>
      </c>
      <c r="BE140" s="401">
        <f>IF(ISBLANK(Actuals!BF48),-5000*Escalation!$B$54,Actuals!BF48)</f>
        <v/>
      </c>
      <c r="BF140" s="401">
        <f>IF(ISBLANK(Actuals!BG48),-5000*Escalation!$B$55,Actuals!BG48)</f>
        <v/>
      </c>
      <c r="BG140" s="401">
        <f>IF(ISBLANK(Actuals!BH48),-5000*Escalation!$B$56,Actuals!BH48)</f>
        <v/>
      </c>
      <c r="BH140" s="401">
        <f>IF(ISBLANK(Actuals!BI48),-5000*Escalation!$B$57,Actuals!BI48)</f>
        <v/>
      </c>
      <c r="BI140" s="401">
        <f>IF(ISBLANK(Actuals!BJ48),-5000*Escalation!$B$58,Actuals!BJ48)</f>
        <v/>
      </c>
      <c r="BJ140" s="401">
        <f>IF(ISBLANK(Actuals!BK48),-5000*Escalation!$B$59,Actuals!BK48)</f>
        <v/>
      </c>
      <c r="BK140" s="401">
        <f>IF(ISBLANK(Actuals!BL48),-5000*Escalation!$B$60,Actuals!BL48)</f>
        <v/>
      </c>
      <c r="BL140" s="401">
        <f>IF(ISBLANK(Actuals!BM48),-5000*Escalation!$B$61,Actuals!BM48)</f>
        <v/>
      </c>
      <c r="BM140" s="401">
        <f>IF(ISBLANK(Actuals!BN48),-5000*Escalation!$B$62,Actuals!BN48)</f>
        <v/>
      </c>
      <c r="BN140" s="401">
        <f>IF(ISBLANK(Actuals!BO48),-5000*Escalation!$B$63,Actuals!BO48)</f>
        <v/>
      </c>
      <c r="BO140" s="401">
        <f>IF(ISBLANK(Actuals!BP48),-5000*Escalation!$B$64,Actuals!BP48)</f>
        <v/>
      </c>
      <c r="BP140" s="401">
        <f>IF(ISBLANK(Actuals!BQ48),-5000*Escalation!$B$65,Actuals!BQ48)</f>
        <v/>
      </c>
      <c r="BQ140" s="401">
        <f>IF(ISBLANK(Actuals!BR48),-5000*Escalation!$B$66,Actuals!BR48)</f>
        <v/>
      </c>
      <c r="BR140" s="401">
        <f>IF(ISBLANK(Actuals!BS48),-5000*Escalation!$B$67,Actuals!BS48)</f>
        <v/>
      </c>
      <c r="BS140" s="401">
        <f>IF(ISBLANK(Actuals!BT48),-5000*Escalation!$B$68,Actuals!BT48)</f>
        <v/>
      </c>
      <c r="BT140" s="401">
        <f>IF(ISBLANK(Actuals!BU48),-5000*Escalation!$B$69,Actuals!BU48)</f>
        <v/>
      </c>
      <c r="BU140" s="401">
        <f>IF(ISBLANK(Actuals!BV48),-5000*Escalation!$B$70,Actuals!BV48)</f>
        <v/>
      </c>
      <c r="BV140" s="401">
        <f>IF(ISBLANK(Actuals!BW48),-5000*Escalation!$B$71,Actuals!BW48)</f>
        <v/>
      </c>
      <c r="BW140" s="401">
        <f>IF(ISBLANK(Actuals!BX48),-5000*Escalation!$B$72,Actuals!BX48)</f>
        <v/>
      </c>
      <c r="BX140" s="401">
        <f>IF(ISBLANK(Actuals!BY48),-5000*Escalation!$B$73,Actuals!BY48)</f>
        <v/>
      </c>
      <c r="BY140" s="401">
        <f>IF(ISBLANK(Actuals!BZ48),-5000*Escalation!$B$74,Actuals!BZ48)</f>
        <v/>
      </c>
      <c r="BZ140" s="401">
        <f>IF(ISBLANK(Actuals!CA48),-5000*Escalation!$B$75,Actuals!CA48)</f>
        <v/>
      </c>
      <c r="CA140" s="401">
        <f>IF(ISBLANK(Actuals!CB48),-5000*Escalation!$B$76,Actuals!CB48)</f>
        <v/>
      </c>
      <c r="CB140" s="401">
        <f>IF(ISBLANK(Actuals!CC48),-5000*Escalation!$B$77,Actuals!CC48)</f>
        <v/>
      </c>
      <c r="CC140" s="401">
        <f>IF(ISBLANK(Actuals!CD48),-5000*Escalation!$B$78,Actuals!CD48)</f>
        <v/>
      </c>
      <c r="CD140" s="401">
        <f>IF(ISBLANK(Actuals!CE48),-5000*Escalation!$B$79,Actuals!CE48)</f>
        <v/>
      </c>
      <c r="CE140" s="401">
        <f>IF(ISBLANK(Actuals!CF48),-5000*Escalation!$B$80,Actuals!CF48)</f>
        <v/>
      </c>
      <c r="CF140" s="401">
        <f>IF(ISBLANK(Actuals!CG48),-5000*Escalation!$B$81,Actuals!CG48)</f>
        <v/>
      </c>
      <c r="CG140" s="401">
        <f>IF(ISBLANK(Actuals!CH48),-5000*Escalation!$B$82,Actuals!CH48)</f>
        <v/>
      </c>
      <c r="CH140" s="401">
        <f>IF(ISBLANK(Actuals!CI48),-5000*Escalation!$B$83,Actuals!CI48)</f>
        <v/>
      </c>
      <c r="CI140" s="401">
        <f>IF(ISBLANK(Actuals!CJ48),-5000*Escalation!$B$84,Actuals!CJ48)</f>
        <v/>
      </c>
      <c r="CJ140" s="401">
        <f>IF(ISBLANK(Actuals!CK48),-5000*Escalation!$B$85,Actuals!CK48)</f>
        <v/>
      </c>
      <c r="CK140" s="401">
        <f>IF(ISBLANK(Actuals!CL48),-5000*Escalation!$B$86,Actuals!CL48)</f>
        <v/>
      </c>
      <c r="CL140" s="401">
        <f>IF(ISBLANK(Actuals!CM48),-5000*Escalation!$B$87,Actuals!CM48)</f>
        <v/>
      </c>
      <c r="CM140" s="401">
        <f>IF(ISBLANK(Actuals!CN48),-5000*Escalation!$B$88,Actuals!CN48)</f>
        <v/>
      </c>
      <c r="CN140" s="401">
        <f>IF(ISBLANK(Actuals!CO48),-5000*Escalation!$B$89,Actuals!CO48)</f>
        <v/>
      </c>
      <c r="CO140" s="401">
        <f>IF(ISBLANK(Actuals!CP48),-5000*Escalation!$B$90,Actuals!CP48)</f>
        <v/>
      </c>
      <c r="CP140" s="401">
        <f>IF(ISBLANK(Actuals!CQ48),-5000*Escalation!$B$91,Actuals!CQ48)</f>
        <v/>
      </c>
      <c r="CQ140" s="401">
        <f>IF(ISBLANK(Actuals!CR48),-5000*Escalation!$B$92,Actuals!CR48)</f>
        <v/>
      </c>
      <c r="CR140" s="401">
        <f>IF(ISBLANK(Actuals!CS48),-5000*Escalation!$B$93,Actuals!CS48)</f>
        <v/>
      </c>
      <c r="CS140" s="401">
        <f>IF(ISBLANK(Actuals!CT48),-5000*Escalation!$B$94,Actuals!CT48)</f>
        <v/>
      </c>
      <c r="CT140" s="401">
        <f>IF(ISBLANK(Actuals!CU48),-5000*Escalation!$B$95,Actuals!CU48)</f>
        <v/>
      </c>
      <c r="CU140" s="401">
        <f>IF(ISBLANK(Actuals!CV48),-5000*Escalation!$B$96,Actuals!CV48)</f>
        <v/>
      </c>
      <c r="CV140" s="401">
        <f>IF(ISBLANK(Actuals!CW48),-5000*Escalation!$B$97,Actuals!CW48)</f>
        <v/>
      </c>
      <c r="CW140" s="401">
        <f>IF(ISBLANK(Actuals!CX48),-5000*Escalation!$B$98,Actuals!CX48)</f>
        <v/>
      </c>
      <c r="CX140" s="401">
        <f>IF(ISBLANK(Actuals!CY48),-5000*Escalation!$B$99,Actuals!CY48)</f>
        <v/>
      </c>
      <c r="CY140" s="401">
        <f>IF(ISBLANK(Actuals!CZ48),-5000*Escalation!$B$100,Actuals!CZ48)</f>
        <v/>
      </c>
      <c r="CZ140" s="401">
        <f>IF(ISBLANK(Actuals!DA48),-5000*Escalation!$B$101,Actuals!DA48)</f>
        <v/>
      </c>
      <c r="DA140" s="401">
        <f>IF(ISBLANK(Actuals!DB48),-5000*Escalation!$B$102,Actuals!DB48)</f>
        <v/>
      </c>
      <c r="DB140" s="401">
        <f>IF(ISBLANK(Actuals!DC48),-5000*Escalation!$B$103,Actuals!DC48)</f>
        <v/>
      </c>
      <c r="DC140" s="401">
        <f>IF(ISBLANK(Actuals!DD48),-5000*Escalation!$B$104,Actuals!DD48)</f>
        <v/>
      </c>
      <c r="DD140" s="401">
        <f>IF(ISBLANK(Actuals!DE48),-5000*Escalation!$B$105,Actuals!DE48)</f>
        <v/>
      </c>
      <c r="DE140" s="401">
        <f>IF(ISBLANK(Actuals!DF48),-5000*Escalation!$B$106,Actuals!DF48)</f>
        <v/>
      </c>
    </row>
    <row r="141" ht="15" customFormat="1" customHeight="1" s="380">
      <c r="A141" s="415" t="inlineStr">
        <is>
          <t>5900-1075 Miscellaneous Expense</t>
        </is>
      </c>
      <c r="B141" s="401">
        <f>IF(ISBLANK(Actuals!C49),0,Actuals!C49)</f>
        <v/>
      </c>
      <c r="C141" s="401">
        <f>IF(ISBLANK(Actuals!D49),0,Actuals!D49)</f>
        <v/>
      </c>
      <c r="D141" s="401">
        <f>IF(ISBLANK(Actuals!E49),0,Actuals!E49)</f>
        <v/>
      </c>
      <c r="E141" s="401">
        <f>IF(ISBLANK(Actuals!F49),-417.6*Escalation!$B$2,Actuals!F49)</f>
        <v/>
      </c>
      <c r="F141" s="401">
        <f>IF(ISBLANK(Actuals!G49),-417.6*Escalation!$B$3,Actuals!G49)</f>
        <v/>
      </c>
      <c r="G141" s="401">
        <f>IF(ISBLANK(Actuals!H49),-417.6*Escalation!$B$4,Actuals!H49)</f>
        <v/>
      </c>
      <c r="H141" s="401">
        <f>IF(ISBLANK(Actuals!I49),-417.6*Escalation!$B$5,Actuals!I49)</f>
        <v/>
      </c>
      <c r="I141" s="401">
        <f>IF(ISBLANK(Actuals!J49),-417.6*Escalation!$B$6,Actuals!J49)</f>
        <v/>
      </c>
      <c r="J141" s="401">
        <f>IF(ISBLANK(Actuals!K49),-417.6*Escalation!$B$7,Actuals!K49)</f>
        <v/>
      </c>
      <c r="K141" s="401">
        <f>IF(ISBLANK(Actuals!L49),-417.6*Escalation!$B$8,Actuals!L49)</f>
        <v/>
      </c>
      <c r="L141" s="401">
        <f>IF(ISBLANK(Actuals!M49),-417.6*Escalation!$B$9,Actuals!M49)</f>
        <v/>
      </c>
      <c r="M141" s="401">
        <f>IF(ISBLANK(Actuals!N49),-417.6*Escalation!$B$10,Actuals!N49)</f>
        <v/>
      </c>
      <c r="N141" s="401">
        <f>IF(ISBLANK(Actuals!O49),-417.6*Escalation!$B$11,Actuals!O49)</f>
        <v/>
      </c>
      <c r="O141" s="401">
        <f>IF(ISBLANK(Actuals!P49),-417.6*Escalation!$B$12,Actuals!P49)</f>
        <v/>
      </c>
      <c r="P141" s="401">
        <f>IF(ISBLANK(Actuals!Q49),-417.6*Escalation!$B$13,Actuals!Q49)</f>
        <v/>
      </c>
      <c r="Q141" s="401">
        <f>IF(ISBLANK(Actuals!R49),-417.6*Escalation!$B$14,Actuals!R49)</f>
        <v/>
      </c>
      <c r="R141" s="401">
        <f>IF(ISBLANK(Actuals!S49),-417.6*Escalation!$B$15,Actuals!S49)</f>
        <v/>
      </c>
      <c r="S141" s="401">
        <f>IF(ISBLANK(Actuals!T49),-417.6*Escalation!$B$16,Actuals!T49)</f>
        <v/>
      </c>
      <c r="T141" s="401">
        <f>IF(ISBLANK(Actuals!U49),-417.6*Escalation!$B$17,Actuals!U49)</f>
        <v/>
      </c>
      <c r="U141" s="401">
        <f>IF(ISBLANK(Actuals!V49),-417.6*Escalation!$B$18,Actuals!V49)</f>
        <v/>
      </c>
      <c r="V141" s="401">
        <f>IF(ISBLANK(Actuals!W49),-417.6*Escalation!$B$19,Actuals!W49)</f>
        <v/>
      </c>
      <c r="W141" s="401">
        <f>IF(ISBLANK(Actuals!X49),-417.6*Escalation!$B$20,Actuals!X49)</f>
        <v/>
      </c>
      <c r="X141" s="401">
        <f>IF(ISBLANK(Actuals!Y49),-417.6*Escalation!$B$21,Actuals!Y49)</f>
        <v/>
      </c>
      <c r="Y141" s="401">
        <f>IF(ISBLANK(Actuals!Z49),-417.6*Escalation!$B$22,Actuals!Z49)</f>
        <v/>
      </c>
      <c r="Z141" s="401">
        <f>IF(ISBLANK(Actuals!AA49),-417.6*Escalation!$B$23,Actuals!AA49)</f>
        <v/>
      </c>
      <c r="AA141" s="401">
        <f>IF(ISBLANK(Actuals!AB49),-417.6*Escalation!$B$24,Actuals!AB49)</f>
        <v/>
      </c>
      <c r="AB141" s="401">
        <f>IF(ISBLANK(Actuals!AC49),-417.6*Escalation!$B$25,Actuals!AC49)</f>
        <v/>
      </c>
      <c r="AC141" s="401">
        <f>IF(ISBLANK(Actuals!AD49),-417.6*Escalation!$B$26,Actuals!AD49)</f>
        <v/>
      </c>
      <c r="AD141" s="401">
        <f>IF(ISBLANK(Actuals!AE49),-417.6*Escalation!$B$27,Actuals!AE49)</f>
        <v/>
      </c>
      <c r="AE141" s="401">
        <f>IF(ISBLANK(Actuals!AF49),-417.6*Escalation!$B$28,Actuals!AF49)</f>
        <v/>
      </c>
      <c r="AF141" s="401">
        <f>IF(ISBLANK(Actuals!AG49),-417.6*Escalation!$B$29,Actuals!AG49)</f>
        <v/>
      </c>
      <c r="AG141" s="401">
        <f>IF(ISBLANK(Actuals!AH49),-417.6*Escalation!$B$30,Actuals!AH49)</f>
        <v/>
      </c>
      <c r="AH141" s="401">
        <f>IF(ISBLANK(Actuals!AI49),-417.6*Escalation!$B$31,Actuals!AI49)</f>
        <v/>
      </c>
      <c r="AI141" s="401">
        <f>IF(ISBLANK(Actuals!AJ49),-417.6*Escalation!$B$32,Actuals!AJ49)</f>
        <v/>
      </c>
      <c r="AJ141" s="401">
        <f>IF(ISBLANK(Actuals!AK49),-417.6*Escalation!$B$33,Actuals!AK49)</f>
        <v/>
      </c>
      <c r="AK141" s="401">
        <f>IF(ISBLANK(Actuals!AL49),-417.6*Escalation!$B$34,Actuals!AL49)</f>
        <v/>
      </c>
      <c r="AL141" s="401">
        <f>IF(ISBLANK(Actuals!AM49),-417.6*Escalation!$B$35,Actuals!AM49)</f>
        <v/>
      </c>
      <c r="AM141" s="401">
        <f>IF(ISBLANK(Actuals!AN49),-417.6*Escalation!$B$36,Actuals!AN49)</f>
        <v/>
      </c>
      <c r="AN141" s="401">
        <f>IF(ISBLANK(Actuals!AO49),-417.6*Escalation!$B$37,Actuals!AO49)</f>
        <v/>
      </c>
      <c r="AO141" s="401">
        <f>IF(ISBLANK(Actuals!AP49),-417.6*Escalation!$B$38,Actuals!AP49)</f>
        <v/>
      </c>
      <c r="AP141" s="401">
        <f>IF(ISBLANK(Actuals!AQ49),-417.6*Escalation!$B$39,Actuals!AQ49)</f>
        <v/>
      </c>
      <c r="AQ141" s="401">
        <f>IF(ISBLANK(Actuals!AR49),-417.6*Escalation!$B$40,Actuals!AR49)</f>
        <v/>
      </c>
      <c r="AR141" s="401">
        <f>IF(ISBLANK(Actuals!AS49),-417.6*Escalation!$B$41,Actuals!AS49)</f>
        <v/>
      </c>
      <c r="AS141" s="401">
        <f>IF(ISBLANK(Actuals!AT49),-417.6*Escalation!$B$42,Actuals!AT49)</f>
        <v/>
      </c>
      <c r="AT141" s="401">
        <f>IF(ISBLANK(Actuals!AU49),-417.6*Escalation!$B$43,Actuals!AU49)</f>
        <v/>
      </c>
      <c r="AU141" s="401">
        <f>IF(ISBLANK(Actuals!AV49),-417.6*Escalation!$B$44,Actuals!AV49)</f>
        <v/>
      </c>
      <c r="AV141" s="401">
        <f>IF(ISBLANK(Actuals!AW49),-417.6*Escalation!$B$45,Actuals!AW49)</f>
        <v/>
      </c>
      <c r="AW141" s="401">
        <f>IF(ISBLANK(Actuals!AX49),-417.6*Escalation!$B$46,Actuals!AX49)</f>
        <v/>
      </c>
      <c r="AX141" s="401">
        <f>IF(ISBLANK(Actuals!AY49),-417.6*Escalation!$B$47,Actuals!AY49)</f>
        <v/>
      </c>
      <c r="AY141" s="401">
        <f>IF(ISBLANK(Actuals!AZ49),-417.6*Escalation!$B$48,Actuals!AZ49)</f>
        <v/>
      </c>
      <c r="AZ141" s="401">
        <f>IF(ISBLANK(Actuals!BA49),-417.6*Escalation!$B$49,Actuals!BA49)</f>
        <v/>
      </c>
      <c r="BA141" s="401">
        <f>IF(ISBLANK(Actuals!BB49),-417.6*Escalation!$B$50,Actuals!BB49)</f>
        <v/>
      </c>
      <c r="BB141" s="401">
        <f>IF(ISBLANK(Actuals!BC49),-417.6*Escalation!$B$51,Actuals!BC49)</f>
        <v/>
      </c>
      <c r="BC141" s="401">
        <f>IF(ISBLANK(Actuals!BD49),-417.6*Escalation!$B$52,Actuals!BD49)</f>
        <v/>
      </c>
      <c r="BD141" s="401">
        <f>IF(ISBLANK(Actuals!BE49),-417.6*Escalation!$B$53,Actuals!BE49)</f>
        <v/>
      </c>
      <c r="BE141" s="401">
        <f>IF(ISBLANK(Actuals!BF49),-417.6*Escalation!$B$54,Actuals!BF49)</f>
        <v/>
      </c>
      <c r="BF141" s="401">
        <f>IF(ISBLANK(Actuals!BG49),-417.6*Escalation!$B$55,Actuals!BG49)</f>
        <v/>
      </c>
      <c r="BG141" s="401">
        <f>IF(ISBLANK(Actuals!BH49),-417.6*Escalation!$B$56,Actuals!BH49)</f>
        <v/>
      </c>
      <c r="BH141" s="401">
        <f>IF(ISBLANK(Actuals!BI49),-417.6*Escalation!$B$57,Actuals!BI49)</f>
        <v/>
      </c>
      <c r="BI141" s="401">
        <f>IF(ISBLANK(Actuals!BJ49),-417.6*Escalation!$B$58,Actuals!BJ49)</f>
        <v/>
      </c>
      <c r="BJ141" s="401">
        <f>IF(ISBLANK(Actuals!BK49),-417.6*Escalation!$B$59,Actuals!BK49)</f>
        <v/>
      </c>
      <c r="BK141" s="401">
        <f>IF(ISBLANK(Actuals!BL49),-417.6*Escalation!$B$60,Actuals!BL49)</f>
        <v/>
      </c>
      <c r="BL141" s="401">
        <f>IF(ISBLANK(Actuals!BM49),-417.6*Escalation!$B$61,Actuals!BM49)</f>
        <v/>
      </c>
      <c r="BM141" s="401">
        <f>IF(ISBLANK(Actuals!BN49),-417.6*Escalation!$B$62,Actuals!BN49)</f>
        <v/>
      </c>
      <c r="BN141" s="401">
        <f>IF(ISBLANK(Actuals!BO49),-417.6*Escalation!$B$63,Actuals!BO49)</f>
        <v/>
      </c>
      <c r="BO141" s="401">
        <f>IF(ISBLANK(Actuals!BP49),-417.6*Escalation!$B$64,Actuals!BP49)</f>
        <v/>
      </c>
      <c r="BP141" s="401">
        <f>IF(ISBLANK(Actuals!BQ49),-417.6*Escalation!$B$65,Actuals!BQ49)</f>
        <v/>
      </c>
      <c r="BQ141" s="401">
        <f>IF(ISBLANK(Actuals!BR49),-417.6*Escalation!$B$66,Actuals!BR49)</f>
        <v/>
      </c>
      <c r="BR141" s="401">
        <f>IF(ISBLANK(Actuals!BS49),-417.6*Escalation!$B$67,Actuals!BS49)</f>
        <v/>
      </c>
      <c r="BS141" s="401">
        <f>IF(ISBLANK(Actuals!BT49),-417.6*Escalation!$B$68,Actuals!BT49)</f>
        <v/>
      </c>
      <c r="BT141" s="401">
        <f>IF(ISBLANK(Actuals!BU49),-417.6*Escalation!$B$69,Actuals!BU49)</f>
        <v/>
      </c>
      <c r="BU141" s="401">
        <f>IF(ISBLANK(Actuals!BV49),-417.6*Escalation!$B$70,Actuals!BV49)</f>
        <v/>
      </c>
      <c r="BV141" s="401">
        <f>IF(ISBLANK(Actuals!BW49),-417.6*Escalation!$B$71,Actuals!BW49)</f>
        <v/>
      </c>
      <c r="BW141" s="401">
        <f>IF(ISBLANK(Actuals!BX49),-417.6*Escalation!$B$72,Actuals!BX49)</f>
        <v/>
      </c>
      <c r="BX141" s="401">
        <f>IF(ISBLANK(Actuals!BY49),-417.6*Escalation!$B$73,Actuals!BY49)</f>
        <v/>
      </c>
      <c r="BY141" s="401">
        <f>IF(ISBLANK(Actuals!BZ49),-417.6*Escalation!$B$74,Actuals!BZ49)</f>
        <v/>
      </c>
      <c r="BZ141" s="401">
        <f>IF(ISBLANK(Actuals!CA49),-417.6*Escalation!$B$75,Actuals!CA49)</f>
        <v/>
      </c>
      <c r="CA141" s="401">
        <f>IF(ISBLANK(Actuals!CB49),-417.6*Escalation!$B$76,Actuals!CB49)</f>
        <v/>
      </c>
      <c r="CB141" s="401">
        <f>IF(ISBLANK(Actuals!CC49),-417.6*Escalation!$B$77,Actuals!CC49)</f>
        <v/>
      </c>
      <c r="CC141" s="401">
        <f>IF(ISBLANK(Actuals!CD49),-417.6*Escalation!$B$78,Actuals!CD49)</f>
        <v/>
      </c>
      <c r="CD141" s="401">
        <f>IF(ISBLANK(Actuals!CE49),-417.6*Escalation!$B$79,Actuals!CE49)</f>
        <v/>
      </c>
      <c r="CE141" s="401">
        <f>IF(ISBLANK(Actuals!CF49),-417.6*Escalation!$B$80,Actuals!CF49)</f>
        <v/>
      </c>
      <c r="CF141" s="401">
        <f>IF(ISBLANK(Actuals!CG49),-417.6*Escalation!$B$81,Actuals!CG49)</f>
        <v/>
      </c>
      <c r="CG141" s="401">
        <f>IF(ISBLANK(Actuals!CH49),-417.6*Escalation!$B$82,Actuals!CH49)</f>
        <v/>
      </c>
      <c r="CH141" s="401">
        <f>IF(ISBLANK(Actuals!CI49),-417.6*Escalation!$B$83,Actuals!CI49)</f>
        <v/>
      </c>
      <c r="CI141" s="401">
        <f>IF(ISBLANK(Actuals!CJ49),-417.6*Escalation!$B$84,Actuals!CJ49)</f>
        <v/>
      </c>
      <c r="CJ141" s="401">
        <f>IF(ISBLANK(Actuals!CK49),-417.6*Escalation!$B$85,Actuals!CK49)</f>
        <v/>
      </c>
      <c r="CK141" s="401">
        <f>IF(ISBLANK(Actuals!CL49),-417.6*Escalation!$B$86,Actuals!CL49)</f>
        <v/>
      </c>
      <c r="CL141" s="401">
        <f>IF(ISBLANK(Actuals!CM49),-417.6*Escalation!$B$87,Actuals!CM49)</f>
        <v/>
      </c>
      <c r="CM141" s="401">
        <f>IF(ISBLANK(Actuals!CN49),-417.6*Escalation!$B$88,Actuals!CN49)</f>
        <v/>
      </c>
      <c r="CN141" s="401">
        <f>IF(ISBLANK(Actuals!CO49),-417.6*Escalation!$B$89,Actuals!CO49)</f>
        <v/>
      </c>
      <c r="CO141" s="401">
        <f>IF(ISBLANK(Actuals!CP49),-417.6*Escalation!$B$90,Actuals!CP49)</f>
        <v/>
      </c>
      <c r="CP141" s="401">
        <f>IF(ISBLANK(Actuals!CQ49),-417.6*Escalation!$B$91,Actuals!CQ49)</f>
        <v/>
      </c>
      <c r="CQ141" s="401">
        <f>IF(ISBLANK(Actuals!CR49),-417.6*Escalation!$B$92,Actuals!CR49)</f>
        <v/>
      </c>
      <c r="CR141" s="401">
        <f>IF(ISBLANK(Actuals!CS49),-417.6*Escalation!$B$93,Actuals!CS49)</f>
        <v/>
      </c>
      <c r="CS141" s="401">
        <f>IF(ISBLANK(Actuals!CT49),-417.6*Escalation!$B$94,Actuals!CT49)</f>
        <v/>
      </c>
      <c r="CT141" s="401">
        <f>IF(ISBLANK(Actuals!CU49),-417.6*Escalation!$B$95,Actuals!CU49)</f>
        <v/>
      </c>
      <c r="CU141" s="401">
        <f>IF(ISBLANK(Actuals!CV49),-417.6*Escalation!$B$96,Actuals!CV49)</f>
        <v/>
      </c>
      <c r="CV141" s="401">
        <f>IF(ISBLANK(Actuals!CW49),-417.6*Escalation!$B$97,Actuals!CW49)</f>
        <v/>
      </c>
      <c r="CW141" s="401">
        <f>IF(ISBLANK(Actuals!CX49),-417.6*Escalation!$B$98,Actuals!CX49)</f>
        <v/>
      </c>
      <c r="CX141" s="401">
        <f>IF(ISBLANK(Actuals!CY49),-417.6*Escalation!$B$99,Actuals!CY49)</f>
        <v/>
      </c>
      <c r="CY141" s="401">
        <f>IF(ISBLANK(Actuals!CZ49),-417.6*Escalation!$B$100,Actuals!CZ49)</f>
        <v/>
      </c>
      <c r="CZ141" s="401">
        <f>IF(ISBLANK(Actuals!DA49),-417.6*Escalation!$B$101,Actuals!DA49)</f>
        <v/>
      </c>
      <c r="DA141" s="401">
        <f>IF(ISBLANK(Actuals!DB49),-417.6*Escalation!$B$102,Actuals!DB49)</f>
        <v/>
      </c>
      <c r="DB141" s="401">
        <f>IF(ISBLANK(Actuals!DC49),-417.6*Escalation!$B$103,Actuals!DC49)</f>
        <v/>
      </c>
      <c r="DC141" s="401">
        <f>IF(ISBLANK(Actuals!DD49),-417.6*Escalation!$B$104,Actuals!DD49)</f>
        <v/>
      </c>
      <c r="DD141" s="401">
        <f>IF(ISBLANK(Actuals!DE49),-417.6*Escalation!$B$105,Actuals!DE49)</f>
        <v/>
      </c>
      <c r="DE141" s="401">
        <f>IF(ISBLANK(Actuals!DF49),-417.6*Escalation!$B$106,Actuals!DF49)</f>
        <v/>
      </c>
    </row>
    <row r="142" ht="15" customFormat="1" customHeight="1" s="380">
      <c r="A142" s="397" t="inlineStr">
        <is>
          <t>5900-1080 Bank Service Charges</t>
        </is>
      </c>
      <c r="B142" s="401">
        <f>IF(ISBLANK(Actuals!C50),0,Actuals!C50)</f>
        <v/>
      </c>
      <c r="C142" s="401">
        <f>IF(ISBLANK(Actuals!D50),0,Actuals!D50)</f>
        <v/>
      </c>
      <c r="D142" s="401">
        <f>IF(ISBLANK(Actuals!E50),0,Actuals!E50)</f>
        <v/>
      </c>
      <c r="E142" s="401">
        <f>IF(ISBLANK(Actuals!F50),-26.67*Escalation!$B$2,Actuals!F50)</f>
        <v/>
      </c>
      <c r="F142" s="401">
        <f>IF(ISBLANK(Actuals!G50),-26.67*Escalation!$B$3,Actuals!G50)</f>
        <v/>
      </c>
      <c r="G142" s="401">
        <f>IF(ISBLANK(Actuals!H50),-26.67*Escalation!$B$4,Actuals!H50)</f>
        <v/>
      </c>
      <c r="H142" s="401">
        <f>IF(ISBLANK(Actuals!I50),-26.67*Escalation!$B$5,Actuals!I50)</f>
        <v/>
      </c>
      <c r="I142" s="401">
        <f>IF(ISBLANK(Actuals!J50),-26.67*Escalation!$B$6,Actuals!J50)</f>
        <v/>
      </c>
      <c r="J142" s="401">
        <f>IF(ISBLANK(Actuals!K50),-26.67*Escalation!$B$7,Actuals!K50)</f>
        <v/>
      </c>
      <c r="K142" s="401">
        <f>IF(ISBLANK(Actuals!L50),-26.67*Escalation!$B$8,Actuals!L50)</f>
        <v/>
      </c>
      <c r="L142" s="401">
        <f>IF(ISBLANK(Actuals!M50),-26.67*Escalation!$B$9,Actuals!M50)</f>
        <v/>
      </c>
      <c r="M142" s="401">
        <f>IF(ISBLANK(Actuals!N50),-26.67*Escalation!$B$10,Actuals!N50)</f>
        <v/>
      </c>
      <c r="N142" s="401">
        <f>IF(ISBLANK(Actuals!O50),-26.67*Escalation!$B$11,Actuals!O50)</f>
        <v/>
      </c>
      <c r="O142" s="401">
        <f>IF(ISBLANK(Actuals!P50),-26.67*Escalation!$B$12,Actuals!P50)</f>
        <v/>
      </c>
      <c r="P142" s="401">
        <f>IF(ISBLANK(Actuals!Q50),-26.67*Escalation!$B$13,Actuals!Q50)</f>
        <v/>
      </c>
      <c r="Q142" s="401">
        <f>IF(ISBLANK(Actuals!R50),-26.67*Escalation!$B$14,Actuals!R50)</f>
        <v/>
      </c>
      <c r="R142" s="401">
        <f>IF(ISBLANK(Actuals!S50),-26.67*Escalation!$B$15,Actuals!S50)</f>
        <v/>
      </c>
      <c r="S142" s="401">
        <f>IF(ISBLANK(Actuals!T50),-26.67*Escalation!$B$16,Actuals!T50)</f>
        <v/>
      </c>
      <c r="T142" s="401">
        <f>IF(ISBLANK(Actuals!U50),-26.67*Escalation!$B$17,Actuals!U50)</f>
        <v/>
      </c>
      <c r="U142" s="401">
        <f>IF(ISBLANK(Actuals!V50),-26.67*Escalation!$B$18,Actuals!V50)</f>
        <v/>
      </c>
      <c r="V142" s="401">
        <f>IF(ISBLANK(Actuals!W50),-26.67*Escalation!$B$19,Actuals!W50)</f>
        <v/>
      </c>
      <c r="W142" s="401">
        <f>IF(ISBLANK(Actuals!X50),-26.67*Escalation!$B$20,Actuals!X50)</f>
        <v/>
      </c>
      <c r="X142" s="401">
        <f>IF(ISBLANK(Actuals!Y50),-26.67*Escalation!$B$21,Actuals!Y50)</f>
        <v/>
      </c>
      <c r="Y142" s="401">
        <f>IF(ISBLANK(Actuals!Z50),-26.67*Escalation!$B$22,Actuals!Z50)</f>
        <v/>
      </c>
      <c r="Z142" s="401">
        <f>IF(ISBLANK(Actuals!AA50),-26.67*Escalation!$B$23,Actuals!AA50)</f>
        <v/>
      </c>
      <c r="AA142" s="401">
        <f>IF(ISBLANK(Actuals!AB50),-26.67*Escalation!$B$24,Actuals!AB50)</f>
        <v/>
      </c>
      <c r="AB142" s="401">
        <f>IF(ISBLANK(Actuals!AC50),-26.67*Escalation!$B$25,Actuals!AC50)</f>
        <v/>
      </c>
      <c r="AC142" s="401">
        <f>IF(ISBLANK(Actuals!AD50),-26.67*Escalation!$B$26,Actuals!AD50)</f>
        <v/>
      </c>
      <c r="AD142" s="401">
        <f>IF(ISBLANK(Actuals!AE50),-26.67*Escalation!$B$27,Actuals!AE50)</f>
        <v/>
      </c>
      <c r="AE142" s="401">
        <f>IF(ISBLANK(Actuals!AF50),-26.67*Escalation!$B$28,Actuals!AF50)</f>
        <v/>
      </c>
      <c r="AF142" s="401">
        <f>IF(ISBLANK(Actuals!AG50),-26.67*Escalation!$B$29,Actuals!AG50)</f>
        <v/>
      </c>
      <c r="AG142" s="401">
        <f>IF(ISBLANK(Actuals!AH50),-26.67*Escalation!$B$30,Actuals!AH50)</f>
        <v/>
      </c>
      <c r="AH142" s="401">
        <f>IF(ISBLANK(Actuals!AI50),-26.67*Escalation!$B$31,Actuals!AI50)</f>
        <v/>
      </c>
      <c r="AI142" s="401">
        <f>IF(ISBLANK(Actuals!AJ50),-26.67*Escalation!$B$32,Actuals!AJ50)</f>
        <v/>
      </c>
      <c r="AJ142" s="401">
        <f>IF(ISBLANK(Actuals!AK50),-26.67*Escalation!$B$33,Actuals!AK50)</f>
        <v/>
      </c>
      <c r="AK142" s="401">
        <f>IF(ISBLANK(Actuals!AL50),-26.67*Escalation!$B$34,Actuals!AL50)</f>
        <v/>
      </c>
      <c r="AL142" s="401">
        <f>IF(ISBLANK(Actuals!AM50),-26.67*Escalation!$B$35,Actuals!AM50)</f>
        <v/>
      </c>
      <c r="AM142" s="401">
        <f>IF(ISBLANK(Actuals!AN50),-26.67*Escalation!$B$36,Actuals!AN50)</f>
        <v/>
      </c>
      <c r="AN142" s="401">
        <f>IF(ISBLANK(Actuals!AO50),-26.67*Escalation!$B$37,Actuals!AO50)</f>
        <v/>
      </c>
      <c r="AO142" s="401">
        <f>IF(ISBLANK(Actuals!AP50),-26.67*Escalation!$B$38,Actuals!AP50)</f>
        <v/>
      </c>
      <c r="AP142" s="401">
        <f>IF(ISBLANK(Actuals!AQ50),-26.67*Escalation!$B$39,Actuals!AQ50)</f>
        <v/>
      </c>
      <c r="AQ142" s="401">
        <f>IF(ISBLANK(Actuals!AR50),-26.67*Escalation!$B$40,Actuals!AR50)</f>
        <v/>
      </c>
      <c r="AR142" s="401">
        <f>IF(ISBLANK(Actuals!AS50),-26.67*Escalation!$B$41,Actuals!AS50)</f>
        <v/>
      </c>
      <c r="AS142" s="401">
        <f>IF(ISBLANK(Actuals!AT50),-26.67*Escalation!$B$42,Actuals!AT50)</f>
        <v/>
      </c>
      <c r="AT142" s="401">
        <f>IF(ISBLANK(Actuals!AU50),-26.67*Escalation!$B$43,Actuals!AU50)</f>
        <v/>
      </c>
      <c r="AU142" s="401">
        <f>IF(ISBLANK(Actuals!AV50),-26.67*Escalation!$B$44,Actuals!AV50)</f>
        <v/>
      </c>
      <c r="AV142" s="401">
        <f>IF(ISBLANK(Actuals!AW50),-26.67*Escalation!$B$45,Actuals!AW50)</f>
        <v/>
      </c>
      <c r="AW142" s="401">
        <f>IF(ISBLANK(Actuals!AX50),-26.67*Escalation!$B$46,Actuals!AX50)</f>
        <v/>
      </c>
      <c r="AX142" s="401">
        <f>IF(ISBLANK(Actuals!AY50),-26.67*Escalation!$B$47,Actuals!AY50)</f>
        <v/>
      </c>
      <c r="AY142" s="401">
        <f>IF(ISBLANK(Actuals!AZ50),-26.67*Escalation!$B$48,Actuals!AZ50)</f>
        <v/>
      </c>
      <c r="AZ142" s="401">
        <f>IF(ISBLANK(Actuals!BA50),-26.67*Escalation!$B$49,Actuals!BA50)</f>
        <v/>
      </c>
      <c r="BA142" s="401">
        <f>IF(ISBLANK(Actuals!BB50),-26.67*Escalation!$B$50,Actuals!BB50)</f>
        <v/>
      </c>
      <c r="BB142" s="401">
        <f>IF(ISBLANK(Actuals!BC50),-26.67*Escalation!$B$51,Actuals!BC50)</f>
        <v/>
      </c>
      <c r="BC142" s="401">
        <f>IF(ISBLANK(Actuals!BD50),-26.67*Escalation!$B$52,Actuals!BD50)</f>
        <v/>
      </c>
      <c r="BD142" s="401">
        <f>IF(ISBLANK(Actuals!BE50),-26.67*Escalation!$B$53,Actuals!BE50)</f>
        <v/>
      </c>
      <c r="BE142" s="401">
        <f>IF(ISBLANK(Actuals!BF50),-26.67*Escalation!$B$54,Actuals!BF50)</f>
        <v/>
      </c>
      <c r="BF142" s="401">
        <f>IF(ISBLANK(Actuals!BG50),-26.67*Escalation!$B$55,Actuals!BG50)</f>
        <v/>
      </c>
      <c r="BG142" s="401">
        <f>IF(ISBLANK(Actuals!BH50),-26.67*Escalation!$B$56,Actuals!BH50)</f>
        <v/>
      </c>
      <c r="BH142" s="401">
        <f>IF(ISBLANK(Actuals!BI50),-26.67*Escalation!$B$57,Actuals!BI50)</f>
        <v/>
      </c>
      <c r="BI142" s="401">
        <f>IF(ISBLANK(Actuals!BJ50),-26.67*Escalation!$B$58,Actuals!BJ50)</f>
        <v/>
      </c>
      <c r="BJ142" s="401">
        <f>IF(ISBLANK(Actuals!BK50),-26.67*Escalation!$B$59,Actuals!BK50)</f>
        <v/>
      </c>
      <c r="BK142" s="401">
        <f>IF(ISBLANK(Actuals!BL50),-26.67*Escalation!$B$60,Actuals!BL50)</f>
        <v/>
      </c>
      <c r="BL142" s="401">
        <f>IF(ISBLANK(Actuals!BM50),-26.67*Escalation!$B$61,Actuals!BM50)</f>
        <v/>
      </c>
      <c r="BM142" s="401">
        <f>IF(ISBLANK(Actuals!BN50),-26.67*Escalation!$B$62,Actuals!BN50)</f>
        <v/>
      </c>
      <c r="BN142" s="401">
        <f>IF(ISBLANK(Actuals!BO50),-26.67*Escalation!$B$63,Actuals!BO50)</f>
        <v/>
      </c>
      <c r="BO142" s="401">
        <f>IF(ISBLANK(Actuals!BP50),-26.67*Escalation!$B$64,Actuals!BP50)</f>
        <v/>
      </c>
      <c r="BP142" s="401">
        <f>IF(ISBLANK(Actuals!BQ50),-26.67*Escalation!$B$65,Actuals!BQ50)</f>
        <v/>
      </c>
      <c r="BQ142" s="401">
        <f>IF(ISBLANK(Actuals!BR50),-26.67*Escalation!$B$66,Actuals!BR50)</f>
        <v/>
      </c>
      <c r="BR142" s="401">
        <f>IF(ISBLANK(Actuals!BS50),-26.67*Escalation!$B$67,Actuals!BS50)</f>
        <v/>
      </c>
      <c r="BS142" s="401">
        <f>IF(ISBLANK(Actuals!BT50),-26.67*Escalation!$B$68,Actuals!BT50)</f>
        <v/>
      </c>
      <c r="BT142" s="401">
        <f>IF(ISBLANK(Actuals!BU50),-26.67*Escalation!$B$69,Actuals!BU50)</f>
        <v/>
      </c>
      <c r="BU142" s="401">
        <f>IF(ISBLANK(Actuals!BV50),-26.67*Escalation!$B$70,Actuals!BV50)</f>
        <v/>
      </c>
      <c r="BV142" s="401">
        <f>IF(ISBLANK(Actuals!BW50),-26.67*Escalation!$B$71,Actuals!BW50)</f>
        <v/>
      </c>
      <c r="BW142" s="401">
        <f>IF(ISBLANK(Actuals!BX50),-26.67*Escalation!$B$72,Actuals!BX50)</f>
        <v/>
      </c>
      <c r="BX142" s="401">
        <f>IF(ISBLANK(Actuals!BY50),-26.67*Escalation!$B$73,Actuals!BY50)</f>
        <v/>
      </c>
      <c r="BY142" s="401">
        <f>IF(ISBLANK(Actuals!BZ50),-26.67*Escalation!$B$74,Actuals!BZ50)</f>
        <v/>
      </c>
      <c r="BZ142" s="401">
        <f>IF(ISBLANK(Actuals!CA50),-26.67*Escalation!$B$75,Actuals!CA50)</f>
        <v/>
      </c>
      <c r="CA142" s="401">
        <f>IF(ISBLANK(Actuals!CB50),-26.67*Escalation!$B$76,Actuals!CB50)</f>
        <v/>
      </c>
      <c r="CB142" s="401">
        <f>IF(ISBLANK(Actuals!CC50),-26.67*Escalation!$B$77,Actuals!CC50)</f>
        <v/>
      </c>
      <c r="CC142" s="401">
        <f>IF(ISBLANK(Actuals!CD50),-26.67*Escalation!$B$78,Actuals!CD50)</f>
        <v/>
      </c>
      <c r="CD142" s="401">
        <f>IF(ISBLANK(Actuals!CE50),-26.67*Escalation!$B$79,Actuals!CE50)</f>
        <v/>
      </c>
      <c r="CE142" s="401">
        <f>IF(ISBLANK(Actuals!CF50),-26.67*Escalation!$B$80,Actuals!CF50)</f>
        <v/>
      </c>
      <c r="CF142" s="401">
        <f>IF(ISBLANK(Actuals!CG50),-26.67*Escalation!$B$81,Actuals!CG50)</f>
        <v/>
      </c>
      <c r="CG142" s="401">
        <f>IF(ISBLANK(Actuals!CH50),-26.67*Escalation!$B$82,Actuals!CH50)</f>
        <v/>
      </c>
      <c r="CH142" s="401">
        <f>IF(ISBLANK(Actuals!CI50),-26.67*Escalation!$B$83,Actuals!CI50)</f>
        <v/>
      </c>
      <c r="CI142" s="401">
        <f>IF(ISBLANK(Actuals!CJ50),-26.67*Escalation!$B$84,Actuals!CJ50)</f>
        <v/>
      </c>
      <c r="CJ142" s="401">
        <f>IF(ISBLANK(Actuals!CK50),-26.67*Escalation!$B$85,Actuals!CK50)</f>
        <v/>
      </c>
      <c r="CK142" s="401">
        <f>IF(ISBLANK(Actuals!CL50),-26.67*Escalation!$B$86,Actuals!CL50)</f>
        <v/>
      </c>
      <c r="CL142" s="401">
        <f>IF(ISBLANK(Actuals!CM50),-26.67*Escalation!$B$87,Actuals!CM50)</f>
        <v/>
      </c>
      <c r="CM142" s="401">
        <f>IF(ISBLANK(Actuals!CN50),-26.67*Escalation!$B$88,Actuals!CN50)</f>
        <v/>
      </c>
      <c r="CN142" s="401">
        <f>IF(ISBLANK(Actuals!CO50),-26.67*Escalation!$B$89,Actuals!CO50)</f>
        <v/>
      </c>
      <c r="CO142" s="401">
        <f>IF(ISBLANK(Actuals!CP50),-26.67*Escalation!$B$90,Actuals!CP50)</f>
        <v/>
      </c>
      <c r="CP142" s="401">
        <f>IF(ISBLANK(Actuals!CQ50),-26.67*Escalation!$B$91,Actuals!CQ50)</f>
        <v/>
      </c>
      <c r="CQ142" s="401">
        <f>IF(ISBLANK(Actuals!CR50),-26.67*Escalation!$B$92,Actuals!CR50)</f>
        <v/>
      </c>
      <c r="CR142" s="401">
        <f>IF(ISBLANK(Actuals!CS50),-26.67*Escalation!$B$93,Actuals!CS50)</f>
        <v/>
      </c>
      <c r="CS142" s="401">
        <f>IF(ISBLANK(Actuals!CT50),-26.67*Escalation!$B$94,Actuals!CT50)</f>
        <v/>
      </c>
      <c r="CT142" s="401">
        <f>IF(ISBLANK(Actuals!CU50),-26.67*Escalation!$B$95,Actuals!CU50)</f>
        <v/>
      </c>
      <c r="CU142" s="401">
        <f>IF(ISBLANK(Actuals!CV50),-26.67*Escalation!$B$96,Actuals!CV50)</f>
        <v/>
      </c>
      <c r="CV142" s="401">
        <f>IF(ISBLANK(Actuals!CW50),-26.67*Escalation!$B$97,Actuals!CW50)</f>
        <v/>
      </c>
      <c r="CW142" s="401">
        <f>IF(ISBLANK(Actuals!CX50),-26.67*Escalation!$B$98,Actuals!CX50)</f>
        <v/>
      </c>
      <c r="CX142" s="401">
        <f>IF(ISBLANK(Actuals!CY50),-26.67*Escalation!$B$99,Actuals!CY50)</f>
        <v/>
      </c>
      <c r="CY142" s="401">
        <f>IF(ISBLANK(Actuals!CZ50),-26.67*Escalation!$B$100,Actuals!CZ50)</f>
        <v/>
      </c>
      <c r="CZ142" s="401">
        <f>IF(ISBLANK(Actuals!DA50),-26.67*Escalation!$B$101,Actuals!DA50)</f>
        <v/>
      </c>
      <c r="DA142" s="401">
        <f>IF(ISBLANK(Actuals!DB50),-26.67*Escalation!$B$102,Actuals!DB50)</f>
        <v/>
      </c>
      <c r="DB142" s="401">
        <f>IF(ISBLANK(Actuals!DC50),-26.67*Escalation!$B$103,Actuals!DC50)</f>
        <v/>
      </c>
      <c r="DC142" s="401">
        <f>IF(ISBLANK(Actuals!DD50),-26.67*Escalation!$B$104,Actuals!DD50)</f>
        <v/>
      </c>
      <c r="DD142" s="401">
        <f>IF(ISBLANK(Actuals!DE50),-26.67*Escalation!$B$105,Actuals!DE50)</f>
        <v/>
      </c>
      <c r="DE142" s="401">
        <f>IF(ISBLANK(Actuals!DF50),-26.67*Escalation!$B$106,Actuals!DF50)</f>
        <v/>
      </c>
    </row>
    <row r="143" ht="15" customFormat="1" customHeight="1" s="380">
      <c r="A143" s="397" t="inlineStr">
        <is>
          <t>5900-3000 Charitable Contribution</t>
        </is>
      </c>
      <c r="B143" s="401">
        <f>IF(ISBLANK(Actuals!C51),0,Actuals!C51)</f>
        <v/>
      </c>
      <c r="C143" s="401">
        <f>IF(ISBLANK(Actuals!D51),0,Actuals!D51)</f>
        <v/>
      </c>
      <c r="D143" s="401">
        <f>IF(ISBLANK(Actuals!E51),0,Actuals!E51)</f>
        <v/>
      </c>
      <c r="E143" s="401">
        <f>IF(ISBLANK(Actuals!F51),-21*Escalation!$B$2,Actuals!F51)</f>
        <v/>
      </c>
      <c r="F143" s="401">
        <f>IF(ISBLANK(Actuals!G51),-21*Escalation!$B$3,Actuals!G51)</f>
        <v/>
      </c>
      <c r="G143" s="401">
        <f>IF(ISBLANK(Actuals!H51),-21*Escalation!$B$4,Actuals!H51)</f>
        <v/>
      </c>
      <c r="H143" s="401">
        <f>IF(ISBLANK(Actuals!I51),-21*Escalation!$B$5,Actuals!I51)</f>
        <v/>
      </c>
      <c r="I143" s="401">
        <f>IF(ISBLANK(Actuals!J51),-21*Escalation!$B$6,Actuals!J51)</f>
        <v/>
      </c>
      <c r="J143" s="401">
        <f>IF(ISBLANK(Actuals!K51),-21*Escalation!$B$7,Actuals!K51)</f>
        <v/>
      </c>
      <c r="K143" s="401">
        <f>IF(ISBLANK(Actuals!L51),-21*Escalation!$B$8,Actuals!L51)</f>
        <v/>
      </c>
      <c r="L143" s="401">
        <f>IF(ISBLANK(Actuals!M51),-21*Escalation!$B$9,Actuals!M51)</f>
        <v/>
      </c>
      <c r="M143" s="401">
        <f>IF(ISBLANK(Actuals!N51),-21*Escalation!$B$10,Actuals!N51)</f>
        <v/>
      </c>
      <c r="N143" s="401">
        <f>IF(ISBLANK(Actuals!O51),-21*Escalation!$B$11,Actuals!O51)</f>
        <v/>
      </c>
      <c r="O143" s="401">
        <f>IF(ISBLANK(Actuals!P51),-21*Escalation!$B$12,Actuals!P51)</f>
        <v/>
      </c>
      <c r="P143" s="401">
        <f>IF(ISBLANK(Actuals!Q51),-21*Escalation!$B$13,Actuals!Q51)</f>
        <v/>
      </c>
      <c r="Q143" s="401">
        <f>IF(ISBLANK(Actuals!R51),-21*Escalation!$B$14,Actuals!R51)</f>
        <v/>
      </c>
      <c r="R143" s="401">
        <f>IF(ISBLANK(Actuals!S51),-21*Escalation!$B$15,Actuals!S51)</f>
        <v/>
      </c>
      <c r="S143" s="401">
        <f>IF(ISBLANK(Actuals!T51),-21*Escalation!$B$16,Actuals!T51)</f>
        <v/>
      </c>
      <c r="T143" s="401">
        <f>IF(ISBLANK(Actuals!U51),-21*Escalation!$B$17,Actuals!U51)</f>
        <v/>
      </c>
      <c r="U143" s="401">
        <f>IF(ISBLANK(Actuals!V51),-21*Escalation!$B$18,Actuals!V51)</f>
        <v/>
      </c>
      <c r="V143" s="401">
        <f>IF(ISBLANK(Actuals!W51),-21*Escalation!$B$19,Actuals!W51)</f>
        <v/>
      </c>
      <c r="W143" s="401">
        <f>IF(ISBLANK(Actuals!X51),-21*Escalation!$B$20,Actuals!X51)</f>
        <v/>
      </c>
      <c r="X143" s="401">
        <f>IF(ISBLANK(Actuals!Y51),-21*Escalation!$B$21,Actuals!Y51)</f>
        <v/>
      </c>
      <c r="Y143" s="401">
        <f>IF(ISBLANK(Actuals!Z51),-21*Escalation!$B$22,Actuals!Z51)</f>
        <v/>
      </c>
      <c r="Z143" s="401">
        <f>IF(ISBLANK(Actuals!AA51),-21*Escalation!$B$23,Actuals!AA51)</f>
        <v/>
      </c>
      <c r="AA143" s="401">
        <f>IF(ISBLANK(Actuals!AB51),-21*Escalation!$B$24,Actuals!AB51)</f>
        <v/>
      </c>
      <c r="AB143" s="401">
        <f>IF(ISBLANK(Actuals!AC51),-21*Escalation!$B$25,Actuals!AC51)</f>
        <v/>
      </c>
      <c r="AC143" s="401">
        <f>IF(ISBLANK(Actuals!AD51),-21*Escalation!$B$26,Actuals!AD51)</f>
        <v/>
      </c>
      <c r="AD143" s="401">
        <f>IF(ISBLANK(Actuals!AE51),-21*Escalation!$B$27,Actuals!AE51)</f>
        <v/>
      </c>
      <c r="AE143" s="401">
        <f>IF(ISBLANK(Actuals!AF51),-21*Escalation!$B$28,Actuals!AF51)</f>
        <v/>
      </c>
      <c r="AF143" s="401">
        <f>IF(ISBLANK(Actuals!AG51),-21*Escalation!$B$29,Actuals!AG51)</f>
        <v/>
      </c>
      <c r="AG143" s="401">
        <f>IF(ISBLANK(Actuals!AH51),-21*Escalation!$B$30,Actuals!AH51)</f>
        <v/>
      </c>
      <c r="AH143" s="401">
        <f>IF(ISBLANK(Actuals!AI51),-21*Escalation!$B$31,Actuals!AI51)</f>
        <v/>
      </c>
      <c r="AI143" s="401">
        <f>IF(ISBLANK(Actuals!AJ51),-21*Escalation!$B$32,Actuals!AJ51)</f>
        <v/>
      </c>
      <c r="AJ143" s="401">
        <f>IF(ISBLANK(Actuals!AK51),-21*Escalation!$B$33,Actuals!AK51)</f>
        <v/>
      </c>
      <c r="AK143" s="401">
        <f>IF(ISBLANK(Actuals!AL51),-21*Escalation!$B$34,Actuals!AL51)</f>
        <v/>
      </c>
      <c r="AL143" s="401">
        <f>IF(ISBLANK(Actuals!AM51),-21*Escalation!$B$35,Actuals!AM51)</f>
        <v/>
      </c>
      <c r="AM143" s="401">
        <f>IF(ISBLANK(Actuals!AN51),-21*Escalation!$B$36,Actuals!AN51)</f>
        <v/>
      </c>
      <c r="AN143" s="401">
        <f>IF(ISBLANK(Actuals!AO51),-21*Escalation!$B$37,Actuals!AO51)</f>
        <v/>
      </c>
      <c r="AO143" s="401">
        <f>IF(ISBLANK(Actuals!AP51),-21*Escalation!$B$38,Actuals!AP51)</f>
        <v/>
      </c>
      <c r="AP143" s="401">
        <f>IF(ISBLANK(Actuals!AQ51),-21*Escalation!$B$39,Actuals!AQ51)</f>
        <v/>
      </c>
      <c r="AQ143" s="401">
        <f>IF(ISBLANK(Actuals!AR51),-21*Escalation!$B$40,Actuals!AR51)</f>
        <v/>
      </c>
      <c r="AR143" s="401">
        <f>IF(ISBLANK(Actuals!AS51),-21*Escalation!$B$41,Actuals!AS51)</f>
        <v/>
      </c>
      <c r="AS143" s="401">
        <f>IF(ISBLANK(Actuals!AT51),-21*Escalation!$B$42,Actuals!AT51)</f>
        <v/>
      </c>
      <c r="AT143" s="401">
        <f>IF(ISBLANK(Actuals!AU51),-21*Escalation!$B$43,Actuals!AU51)</f>
        <v/>
      </c>
      <c r="AU143" s="401">
        <f>IF(ISBLANK(Actuals!AV51),-21*Escalation!$B$44,Actuals!AV51)</f>
        <v/>
      </c>
      <c r="AV143" s="401">
        <f>IF(ISBLANK(Actuals!AW51),-21*Escalation!$B$45,Actuals!AW51)</f>
        <v/>
      </c>
      <c r="AW143" s="401">
        <f>IF(ISBLANK(Actuals!AX51),-21*Escalation!$B$46,Actuals!AX51)</f>
        <v/>
      </c>
      <c r="AX143" s="401">
        <f>IF(ISBLANK(Actuals!AY51),-21*Escalation!$B$47,Actuals!AY51)</f>
        <v/>
      </c>
      <c r="AY143" s="401">
        <f>IF(ISBLANK(Actuals!AZ51),-21*Escalation!$B$48,Actuals!AZ51)</f>
        <v/>
      </c>
      <c r="AZ143" s="401">
        <f>IF(ISBLANK(Actuals!BA51),-21*Escalation!$B$49,Actuals!BA51)</f>
        <v/>
      </c>
      <c r="BA143" s="401">
        <f>IF(ISBLANK(Actuals!BB51),-21*Escalation!$B$50,Actuals!BB51)</f>
        <v/>
      </c>
      <c r="BB143" s="401">
        <f>IF(ISBLANK(Actuals!BC51),-21*Escalation!$B$51,Actuals!BC51)</f>
        <v/>
      </c>
      <c r="BC143" s="401">
        <f>IF(ISBLANK(Actuals!BD51),-21*Escalation!$B$52,Actuals!BD51)</f>
        <v/>
      </c>
      <c r="BD143" s="401">
        <f>IF(ISBLANK(Actuals!BE51),-21*Escalation!$B$53,Actuals!BE51)</f>
        <v/>
      </c>
      <c r="BE143" s="401">
        <f>IF(ISBLANK(Actuals!BF51),-21*Escalation!$B$54,Actuals!BF51)</f>
        <v/>
      </c>
      <c r="BF143" s="401">
        <f>IF(ISBLANK(Actuals!BG51),-21*Escalation!$B$55,Actuals!BG51)</f>
        <v/>
      </c>
      <c r="BG143" s="401">
        <f>IF(ISBLANK(Actuals!BH51),-21*Escalation!$B$56,Actuals!BH51)</f>
        <v/>
      </c>
      <c r="BH143" s="401">
        <f>IF(ISBLANK(Actuals!BI51),-21*Escalation!$B$57,Actuals!BI51)</f>
        <v/>
      </c>
      <c r="BI143" s="401">
        <f>IF(ISBLANK(Actuals!BJ51),-21*Escalation!$B$58,Actuals!BJ51)</f>
        <v/>
      </c>
      <c r="BJ143" s="401">
        <f>IF(ISBLANK(Actuals!BK51),-21*Escalation!$B$59,Actuals!BK51)</f>
        <v/>
      </c>
      <c r="BK143" s="401">
        <f>IF(ISBLANK(Actuals!BL51),-21*Escalation!$B$60,Actuals!BL51)</f>
        <v/>
      </c>
      <c r="BL143" s="401">
        <f>IF(ISBLANK(Actuals!BM51),-21*Escalation!$B$61,Actuals!BM51)</f>
        <v/>
      </c>
      <c r="BM143" s="401">
        <f>IF(ISBLANK(Actuals!BN51),-21*Escalation!$B$62,Actuals!BN51)</f>
        <v/>
      </c>
      <c r="BN143" s="401">
        <f>IF(ISBLANK(Actuals!BO51),-21*Escalation!$B$63,Actuals!BO51)</f>
        <v/>
      </c>
      <c r="BO143" s="401">
        <f>IF(ISBLANK(Actuals!BP51),-21*Escalation!$B$64,Actuals!BP51)</f>
        <v/>
      </c>
      <c r="BP143" s="401">
        <f>IF(ISBLANK(Actuals!BQ51),-21*Escalation!$B$65,Actuals!BQ51)</f>
        <v/>
      </c>
      <c r="BQ143" s="401">
        <f>IF(ISBLANK(Actuals!BR51),-21*Escalation!$B$66,Actuals!BR51)</f>
        <v/>
      </c>
      <c r="BR143" s="401">
        <f>IF(ISBLANK(Actuals!BS51),-21*Escalation!$B$67,Actuals!BS51)</f>
        <v/>
      </c>
      <c r="BS143" s="401">
        <f>IF(ISBLANK(Actuals!BT51),-21*Escalation!$B$68,Actuals!BT51)</f>
        <v/>
      </c>
      <c r="BT143" s="401">
        <f>IF(ISBLANK(Actuals!BU51),-21*Escalation!$B$69,Actuals!BU51)</f>
        <v/>
      </c>
      <c r="BU143" s="401">
        <f>IF(ISBLANK(Actuals!BV51),-21*Escalation!$B$70,Actuals!BV51)</f>
        <v/>
      </c>
      <c r="BV143" s="401">
        <f>IF(ISBLANK(Actuals!BW51),-21*Escalation!$B$71,Actuals!BW51)</f>
        <v/>
      </c>
      <c r="BW143" s="401">
        <f>IF(ISBLANK(Actuals!BX51),-21*Escalation!$B$72,Actuals!BX51)</f>
        <v/>
      </c>
      <c r="BX143" s="401">
        <f>IF(ISBLANK(Actuals!BY51),-21*Escalation!$B$73,Actuals!BY51)</f>
        <v/>
      </c>
      <c r="BY143" s="401">
        <f>IF(ISBLANK(Actuals!BZ51),-21*Escalation!$B$74,Actuals!BZ51)</f>
        <v/>
      </c>
      <c r="BZ143" s="401">
        <f>IF(ISBLANK(Actuals!CA51),-21*Escalation!$B$75,Actuals!CA51)</f>
        <v/>
      </c>
      <c r="CA143" s="401">
        <f>IF(ISBLANK(Actuals!CB51),-21*Escalation!$B$76,Actuals!CB51)</f>
        <v/>
      </c>
      <c r="CB143" s="401">
        <f>IF(ISBLANK(Actuals!CC51),-21*Escalation!$B$77,Actuals!CC51)</f>
        <v/>
      </c>
      <c r="CC143" s="401">
        <f>IF(ISBLANK(Actuals!CD51),-21*Escalation!$B$78,Actuals!CD51)</f>
        <v/>
      </c>
      <c r="CD143" s="401">
        <f>IF(ISBLANK(Actuals!CE51),-21*Escalation!$B$79,Actuals!CE51)</f>
        <v/>
      </c>
      <c r="CE143" s="401">
        <f>IF(ISBLANK(Actuals!CF51),-21*Escalation!$B$80,Actuals!CF51)</f>
        <v/>
      </c>
      <c r="CF143" s="401">
        <f>IF(ISBLANK(Actuals!CG51),-21*Escalation!$B$81,Actuals!CG51)</f>
        <v/>
      </c>
      <c r="CG143" s="401">
        <f>IF(ISBLANK(Actuals!CH51),-21*Escalation!$B$82,Actuals!CH51)</f>
        <v/>
      </c>
      <c r="CH143" s="401">
        <f>IF(ISBLANK(Actuals!CI51),-21*Escalation!$B$83,Actuals!CI51)</f>
        <v/>
      </c>
      <c r="CI143" s="401">
        <f>IF(ISBLANK(Actuals!CJ51),-21*Escalation!$B$84,Actuals!CJ51)</f>
        <v/>
      </c>
      <c r="CJ143" s="401">
        <f>IF(ISBLANK(Actuals!CK51),-21*Escalation!$B$85,Actuals!CK51)</f>
        <v/>
      </c>
      <c r="CK143" s="401">
        <f>IF(ISBLANK(Actuals!CL51),-21*Escalation!$B$86,Actuals!CL51)</f>
        <v/>
      </c>
      <c r="CL143" s="401">
        <f>IF(ISBLANK(Actuals!CM51),-21*Escalation!$B$87,Actuals!CM51)</f>
        <v/>
      </c>
      <c r="CM143" s="401">
        <f>IF(ISBLANK(Actuals!CN51),-21*Escalation!$B$88,Actuals!CN51)</f>
        <v/>
      </c>
      <c r="CN143" s="401">
        <f>IF(ISBLANK(Actuals!CO51),-21*Escalation!$B$89,Actuals!CO51)</f>
        <v/>
      </c>
      <c r="CO143" s="401">
        <f>IF(ISBLANK(Actuals!CP51),-21*Escalation!$B$90,Actuals!CP51)</f>
        <v/>
      </c>
      <c r="CP143" s="401">
        <f>IF(ISBLANK(Actuals!CQ51),-21*Escalation!$B$91,Actuals!CQ51)</f>
        <v/>
      </c>
      <c r="CQ143" s="401">
        <f>IF(ISBLANK(Actuals!CR51),-21*Escalation!$B$92,Actuals!CR51)</f>
        <v/>
      </c>
      <c r="CR143" s="401">
        <f>IF(ISBLANK(Actuals!CS51),-21*Escalation!$B$93,Actuals!CS51)</f>
        <v/>
      </c>
      <c r="CS143" s="401">
        <f>IF(ISBLANK(Actuals!CT51),-21*Escalation!$B$94,Actuals!CT51)</f>
        <v/>
      </c>
      <c r="CT143" s="401">
        <f>IF(ISBLANK(Actuals!CU51),-21*Escalation!$B$95,Actuals!CU51)</f>
        <v/>
      </c>
      <c r="CU143" s="401">
        <f>IF(ISBLANK(Actuals!CV51),-21*Escalation!$B$96,Actuals!CV51)</f>
        <v/>
      </c>
      <c r="CV143" s="401">
        <f>IF(ISBLANK(Actuals!CW51),-21*Escalation!$B$97,Actuals!CW51)</f>
        <v/>
      </c>
      <c r="CW143" s="401">
        <f>IF(ISBLANK(Actuals!CX51),-21*Escalation!$B$98,Actuals!CX51)</f>
        <v/>
      </c>
      <c r="CX143" s="401">
        <f>IF(ISBLANK(Actuals!CY51),-21*Escalation!$B$99,Actuals!CY51)</f>
        <v/>
      </c>
      <c r="CY143" s="401">
        <f>IF(ISBLANK(Actuals!CZ51),-21*Escalation!$B$100,Actuals!CZ51)</f>
        <v/>
      </c>
      <c r="CZ143" s="401">
        <f>IF(ISBLANK(Actuals!DA51),-21*Escalation!$B$101,Actuals!DA51)</f>
        <v/>
      </c>
      <c r="DA143" s="401">
        <f>IF(ISBLANK(Actuals!DB51),-21*Escalation!$B$102,Actuals!DB51)</f>
        <v/>
      </c>
      <c r="DB143" s="401">
        <f>IF(ISBLANK(Actuals!DC51),-21*Escalation!$B$103,Actuals!DC51)</f>
        <v/>
      </c>
      <c r="DC143" s="401">
        <f>IF(ISBLANK(Actuals!DD51),-21*Escalation!$B$104,Actuals!DD51)</f>
        <v/>
      </c>
      <c r="DD143" s="401">
        <f>IF(ISBLANK(Actuals!DE51),-21*Escalation!$B$105,Actuals!DE51)</f>
        <v/>
      </c>
      <c r="DE143" s="401">
        <f>IF(ISBLANK(Actuals!DF51),-21*Escalation!$B$106,Actuals!DF51)</f>
        <v/>
      </c>
    </row>
    <row r="144" ht="15" customFormat="1" customHeight="1" s="380">
      <c r="A144" s="397" t="inlineStr">
        <is>
          <t>BD Commission</t>
        </is>
      </c>
      <c r="B144" s="401">
        <f>IF(ISBLANK(Actuals!C52),-MAX(0,'BD Commission Detail'!C53),Actuals!C52)</f>
        <v/>
      </c>
      <c r="C144" s="401">
        <f>IF(ISBLANK(Actuals!D52),-MAX(0,'BD Commission Detail'!D53),Actuals!D52)</f>
        <v/>
      </c>
      <c r="D144" s="401">
        <f>IF(ISBLANK(Actuals!E52),-MAX(0,'BD Commission Detail'!E53),Actuals!E52)</f>
        <v/>
      </c>
      <c r="E144" s="401">
        <f>IF(ISBLANK(Actuals!F52),-MAX(0,'BD Commission Detail'!F53),Actuals!F52)</f>
        <v/>
      </c>
      <c r="F144" s="401">
        <f>IF(ISBLANK(Actuals!G52),-MAX(0,'BD Commission Detail'!G53),Actuals!G52)</f>
        <v/>
      </c>
      <c r="G144" s="401">
        <f>IF(ISBLANK(Actuals!H52),-MAX(0,'BD Commission Detail'!H53),Actuals!H52)</f>
        <v/>
      </c>
      <c r="H144" s="401">
        <f>IF(ISBLANK(Actuals!I52),-MAX(0,'BD Commission Detail'!I53),Actuals!I52)</f>
        <v/>
      </c>
      <c r="I144" s="401">
        <f>IF(ISBLANK(Actuals!J52),-MAX(0,'BD Commission Detail'!J53),Actuals!J52)</f>
        <v/>
      </c>
      <c r="J144" s="401">
        <f>IF(ISBLANK(Actuals!K52),-MAX(0,'BD Commission Detail'!K53),Actuals!K52)</f>
        <v/>
      </c>
      <c r="K144" s="401">
        <f>IF(ISBLANK(Actuals!L52),-MAX(0,'BD Commission Detail'!L53),Actuals!L52)</f>
        <v/>
      </c>
      <c r="L144" s="401">
        <f>IF(ISBLANK(Actuals!M52),-MAX(0,'BD Commission Detail'!M53),Actuals!M52)</f>
        <v/>
      </c>
      <c r="M144" s="401">
        <f>IF(ISBLANK(Actuals!N52),-MAX(0,'BD Commission Detail'!N53),Actuals!N52)</f>
        <v/>
      </c>
      <c r="N144" s="401">
        <f>IF(ISBLANK(Actuals!O52),-MAX(0,'BD Commission Detail'!O53),Actuals!O52)</f>
        <v/>
      </c>
      <c r="O144" s="401">
        <f>IF(ISBLANK(Actuals!P52),-MAX(0,'BD Commission Detail'!P53),Actuals!P52)</f>
        <v/>
      </c>
      <c r="P144" s="401">
        <f>IF(ISBLANK(Actuals!Q52),-MAX(0,'BD Commission Detail'!Q53),Actuals!Q52)</f>
        <v/>
      </c>
      <c r="Q144" s="401">
        <f>IF(ISBLANK(Actuals!R52),-MAX(0,'BD Commission Detail'!R53),Actuals!R52)</f>
        <v/>
      </c>
      <c r="R144" s="401">
        <f>IF(ISBLANK(Actuals!S52),-MAX(0,'BD Commission Detail'!S53),Actuals!S52)</f>
        <v/>
      </c>
      <c r="S144" s="401">
        <f>IF(ISBLANK(Actuals!T52),-MAX(0,'BD Commission Detail'!T53),Actuals!T52)</f>
        <v/>
      </c>
      <c r="T144" s="401">
        <f>IF(ISBLANK(Actuals!U52),-MAX(0,'BD Commission Detail'!U53),Actuals!U52)</f>
        <v/>
      </c>
      <c r="U144" s="401">
        <f>IF(ISBLANK(Actuals!V52),-MAX(0,'BD Commission Detail'!V53),Actuals!V52)</f>
        <v/>
      </c>
      <c r="V144" s="401">
        <f>IF(ISBLANK(Actuals!W52),-MAX(0,'BD Commission Detail'!W53),Actuals!W52)</f>
        <v/>
      </c>
      <c r="W144" s="401">
        <f>IF(ISBLANK(Actuals!X52),-MAX(0,'BD Commission Detail'!X53),Actuals!X52)</f>
        <v/>
      </c>
      <c r="X144" s="401">
        <f>IF(ISBLANK(Actuals!Y52),-MAX(0,'BD Commission Detail'!Y53),Actuals!Y52)</f>
        <v/>
      </c>
      <c r="Y144" s="401">
        <f>IF(ISBLANK(Actuals!Z52),-MAX(0,'BD Commission Detail'!Z53),Actuals!Z52)</f>
        <v/>
      </c>
      <c r="Z144" s="401">
        <f>IF(ISBLANK(Actuals!AA52),-MAX(0,'BD Commission Detail'!AA53),Actuals!AA52)</f>
        <v/>
      </c>
      <c r="AA144" s="401">
        <f>IF(ISBLANK(Actuals!AB52),-MAX(0,'BD Commission Detail'!AB53),Actuals!AB52)</f>
        <v/>
      </c>
      <c r="AB144" s="401">
        <f>IF(ISBLANK(Actuals!AC52),-MAX(0,'BD Commission Detail'!AC53),Actuals!AC52)</f>
        <v/>
      </c>
      <c r="AC144" s="401">
        <f>IF(ISBLANK(Actuals!AD52),-MAX(0,'BD Commission Detail'!AD53),Actuals!AD52)</f>
        <v/>
      </c>
      <c r="AD144" s="401">
        <f>IF(ISBLANK(Actuals!AE52),-MAX(0,'BD Commission Detail'!AE53),Actuals!AE52)</f>
        <v/>
      </c>
      <c r="AE144" s="401">
        <f>IF(ISBLANK(Actuals!AF52),-MAX(0,'BD Commission Detail'!AF53),Actuals!AF52)</f>
        <v/>
      </c>
      <c r="AF144" s="401">
        <f>IF(ISBLANK(Actuals!AG52),-MAX(0,'BD Commission Detail'!AG53),Actuals!AG52)</f>
        <v/>
      </c>
      <c r="AG144" s="401">
        <f>IF(ISBLANK(Actuals!AH52),-MAX(0,'BD Commission Detail'!AH53),Actuals!AH52)</f>
        <v/>
      </c>
      <c r="AH144" s="401">
        <f>IF(ISBLANK(Actuals!AI52),-MAX(0,'BD Commission Detail'!AI53),Actuals!AI52)</f>
        <v/>
      </c>
      <c r="AI144" s="401">
        <f>IF(ISBLANK(Actuals!AJ52),-MAX(0,'BD Commission Detail'!AJ53),Actuals!AJ52)</f>
        <v/>
      </c>
      <c r="AJ144" s="401">
        <f>IF(ISBLANK(Actuals!AK52),-MAX(0,'BD Commission Detail'!AK53),Actuals!AK52)</f>
        <v/>
      </c>
      <c r="AK144" s="401">
        <f>IF(ISBLANK(Actuals!AL52),-MAX(0,'BD Commission Detail'!AL53),Actuals!AL52)</f>
        <v/>
      </c>
      <c r="AL144" s="401">
        <f>IF(ISBLANK(Actuals!AM52),-MAX(0,'BD Commission Detail'!AM53),Actuals!AM52)</f>
        <v/>
      </c>
      <c r="AM144" s="401">
        <f>IF(ISBLANK(Actuals!AN52),-MAX(0,'BD Commission Detail'!AN53),Actuals!AN52)</f>
        <v/>
      </c>
      <c r="AN144" s="401">
        <f>IF(ISBLANK(Actuals!AO52),-MAX(0,'BD Commission Detail'!AO53),Actuals!AO52)</f>
        <v/>
      </c>
      <c r="AO144" s="401">
        <f>IF(ISBLANK(Actuals!AP52),-MAX(0,'BD Commission Detail'!AP53),Actuals!AP52)</f>
        <v/>
      </c>
      <c r="AP144" s="401">
        <f>IF(ISBLANK(Actuals!AQ52),-MAX(0,'BD Commission Detail'!AQ53),Actuals!AQ52)</f>
        <v/>
      </c>
      <c r="AQ144" s="401">
        <f>IF(ISBLANK(Actuals!AR52),-MAX(0,'BD Commission Detail'!AR53),Actuals!AR52)</f>
        <v/>
      </c>
      <c r="AR144" s="401">
        <f>IF(ISBLANK(Actuals!AS52),-MAX(0,'BD Commission Detail'!AS53),Actuals!AS52)</f>
        <v/>
      </c>
      <c r="AS144" s="401">
        <f>IF(ISBLANK(Actuals!AT52),-MAX(0,'BD Commission Detail'!AT53),Actuals!AT52)</f>
        <v/>
      </c>
      <c r="AT144" s="401">
        <f>IF(ISBLANK(Actuals!AU52),-MAX(0,'BD Commission Detail'!AU53),Actuals!AU52)</f>
        <v/>
      </c>
      <c r="AU144" s="401">
        <f>IF(ISBLANK(Actuals!AV52),-MAX(0,'BD Commission Detail'!AV53),Actuals!AV52)</f>
        <v/>
      </c>
      <c r="AV144" s="401">
        <f>IF(ISBLANK(Actuals!AW52),-MAX(0,'BD Commission Detail'!AW53),Actuals!AW52)</f>
        <v/>
      </c>
      <c r="AW144" s="401">
        <f>IF(ISBLANK(Actuals!AX52),-MAX(0,'BD Commission Detail'!AX53),Actuals!AX52)</f>
        <v/>
      </c>
      <c r="AX144" s="401">
        <f>IF(ISBLANK(Actuals!AY52),-MAX(0,'BD Commission Detail'!AY53),Actuals!AY52)</f>
        <v/>
      </c>
      <c r="AY144" s="401">
        <f>IF(ISBLANK(Actuals!AZ52),-MAX(0,'BD Commission Detail'!AZ53),Actuals!AZ52)</f>
        <v/>
      </c>
      <c r="AZ144" s="401">
        <f>IF(ISBLANK(Actuals!BA52),-MAX(0,'BD Commission Detail'!BA53),Actuals!BA52)</f>
        <v/>
      </c>
      <c r="BA144" s="401">
        <f>IF(ISBLANK(Actuals!BB52),-MAX(0,'BD Commission Detail'!BB53),Actuals!BB52)</f>
        <v/>
      </c>
      <c r="BB144" s="401">
        <f>IF(ISBLANK(Actuals!BC52),-MAX(0,'BD Commission Detail'!BC53),Actuals!BC52)</f>
        <v/>
      </c>
      <c r="BC144" s="401">
        <f>IF(ISBLANK(Actuals!BD52),-MAX(0,'BD Commission Detail'!BD53),Actuals!BD52)</f>
        <v/>
      </c>
      <c r="BD144" s="401">
        <f>IF(ISBLANK(Actuals!BE52),-MAX(0,'BD Commission Detail'!BE53),Actuals!BE52)</f>
        <v/>
      </c>
      <c r="BE144" s="401">
        <f>IF(ISBLANK(Actuals!BF52),-MAX(0,'BD Commission Detail'!BF53),Actuals!BF52)</f>
        <v/>
      </c>
      <c r="BF144" s="401">
        <f>IF(ISBLANK(Actuals!BG52),-MAX(0,'BD Commission Detail'!BG53),Actuals!BG52)</f>
        <v/>
      </c>
      <c r="BG144" s="401">
        <f>IF(ISBLANK(Actuals!BH52),-MAX(0,'BD Commission Detail'!BH53),Actuals!BH52)</f>
        <v/>
      </c>
      <c r="BH144" s="401">
        <f>IF(ISBLANK(Actuals!BI52),-MAX(0,'BD Commission Detail'!BI53),Actuals!BI52)</f>
        <v/>
      </c>
      <c r="BI144" s="401">
        <f>IF(ISBLANK(Actuals!BJ52),-MAX(0,'BD Commission Detail'!BJ53),Actuals!BJ52)</f>
        <v/>
      </c>
      <c r="BJ144" s="401">
        <f>IF(ISBLANK(Actuals!BK52),-MAX(0,'BD Commission Detail'!BK53),Actuals!BK52)</f>
        <v/>
      </c>
      <c r="BK144" s="401">
        <f>IF(ISBLANK(Actuals!BL52),-MAX(0,'BD Commission Detail'!BL53),Actuals!BL52)</f>
        <v/>
      </c>
      <c r="BL144" s="401">
        <f>IF(ISBLANK(Actuals!BM52),-MAX(0,'BD Commission Detail'!BM53),Actuals!BM52)</f>
        <v/>
      </c>
      <c r="BM144" s="401">
        <f>IF(ISBLANK(Actuals!BN52),-MAX(0,'BD Commission Detail'!BN53),Actuals!BN52)</f>
        <v/>
      </c>
      <c r="BN144" s="401">
        <f>IF(ISBLANK(Actuals!BO52),-MAX(0,'BD Commission Detail'!BO53),Actuals!BO52)</f>
        <v/>
      </c>
      <c r="BO144" s="401">
        <f>IF(ISBLANK(Actuals!BP52),-MAX(0,'BD Commission Detail'!BP53),Actuals!BP52)</f>
        <v/>
      </c>
      <c r="BP144" s="401">
        <f>IF(ISBLANK(Actuals!BQ52),-MAX(0,'BD Commission Detail'!BQ53),Actuals!BQ52)</f>
        <v/>
      </c>
      <c r="BQ144" s="401">
        <f>IF(ISBLANK(Actuals!BR52),-MAX(0,'BD Commission Detail'!BR53),Actuals!BR52)</f>
        <v/>
      </c>
      <c r="BR144" s="401">
        <f>IF(ISBLANK(Actuals!BS52),-MAX(0,'BD Commission Detail'!BS53),Actuals!BS52)</f>
        <v/>
      </c>
      <c r="BS144" s="401">
        <f>IF(ISBLANK(Actuals!BT52),-MAX(0,'BD Commission Detail'!BT53),Actuals!BT52)</f>
        <v/>
      </c>
      <c r="BT144" s="401">
        <f>IF(ISBLANK(Actuals!BU52),-MAX(0,'BD Commission Detail'!BU53),Actuals!BU52)</f>
        <v/>
      </c>
      <c r="BU144" s="401">
        <f>IF(ISBLANK(Actuals!BV52),-MAX(0,'BD Commission Detail'!BV53),Actuals!BV52)</f>
        <v/>
      </c>
      <c r="BV144" s="401">
        <f>IF(ISBLANK(Actuals!BW52),-MAX(0,'BD Commission Detail'!BW53),Actuals!BW52)</f>
        <v/>
      </c>
      <c r="BW144" s="401">
        <f>IF(ISBLANK(Actuals!BX52),-MAX(0,'BD Commission Detail'!BX53),Actuals!BX52)</f>
        <v/>
      </c>
      <c r="BX144" s="401">
        <f>IF(ISBLANK(Actuals!BY52),-MAX(0,'BD Commission Detail'!BY53),Actuals!BY52)</f>
        <v/>
      </c>
      <c r="BY144" s="401">
        <f>IF(ISBLANK(Actuals!BZ52),-MAX(0,'BD Commission Detail'!BZ53),Actuals!BZ52)</f>
        <v/>
      </c>
      <c r="BZ144" s="401">
        <f>IF(ISBLANK(Actuals!CA52),-MAX(0,'BD Commission Detail'!CA53),Actuals!CA52)</f>
        <v/>
      </c>
      <c r="CA144" s="401">
        <f>IF(ISBLANK(Actuals!CB52),-MAX(0,'BD Commission Detail'!CB53),Actuals!CB52)</f>
        <v/>
      </c>
      <c r="CB144" s="401">
        <f>IF(ISBLANK(Actuals!CC52),-MAX(0,'BD Commission Detail'!CC53),Actuals!CC52)</f>
        <v/>
      </c>
      <c r="CC144" s="401">
        <f>IF(ISBLANK(Actuals!CD52),-MAX(0,'BD Commission Detail'!CD53),Actuals!CD52)</f>
        <v/>
      </c>
      <c r="CD144" s="401">
        <f>IF(ISBLANK(Actuals!CE52),-MAX(0,'BD Commission Detail'!CE53),Actuals!CE52)</f>
        <v/>
      </c>
      <c r="CE144" s="401">
        <f>IF(ISBLANK(Actuals!CF52),-MAX(0,'BD Commission Detail'!CF53),Actuals!CF52)</f>
        <v/>
      </c>
      <c r="CF144" s="401">
        <f>IF(ISBLANK(Actuals!CG52),-MAX(0,'BD Commission Detail'!CG53),Actuals!CG52)</f>
        <v/>
      </c>
      <c r="CG144" s="401">
        <f>IF(ISBLANK(Actuals!CH52),-MAX(0,'BD Commission Detail'!CH53),Actuals!CH52)</f>
        <v/>
      </c>
      <c r="CH144" s="401">
        <f>IF(ISBLANK(Actuals!CI52),-MAX(0,'BD Commission Detail'!CI53),Actuals!CI52)</f>
        <v/>
      </c>
      <c r="CI144" s="401">
        <f>IF(ISBLANK(Actuals!CJ52),-MAX(0,'BD Commission Detail'!CJ53),Actuals!CJ52)</f>
        <v/>
      </c>
      <c r="CJ144" s="401">
        <f>IF(ISBLANK(Actuals!CK52),-MAX(0,'BD Commission Detail'!CK53),Actuals!CK52)</f>
        <v/>
      </c>
      <c r="CK144" s="401">
        <f>IF(ISBLANK(Actuals!CL52),-MAX(0,'BD Commission Detail'!CL53),Actuals!CL52)</f>
        <v/>
      </c>
      <c r="CL144" s="401">
        <f>IF(ISBLANK(Actuals!CM52),-MAX(0,'BD Commission Detail'!CM53),Actuals!CM52)</f>
        <v/>
      </c>
      <c r="CM144" s="401">
        <f>IF(ISBLANK(Actuals!CN52),-MAX(0,'BD Commission Detail'!CN53),Actuals!CN52)</f>
        <v/>
      </c>
      <c r="CN144" s="401">
        <f>IF(ISBLANK(Actuals!CO52),-MAX(0,'BD Commission Detail'!CO53),Actuals!CO52)</f>
        <v/>
      </c>
      <c r="CO144" s="401">
        <f>IF(ISBLANK(Actuals!CP52),-MAX(0,'BD Commission Detail'!CP53),Actuals!CP52)</f>
        <v/>
      </c>
      <c r="CP144" s="401">
        <f>IF(ISBLANK(Actuals!CQ52),-MAX(0,'BD Commission Detail'!CQ53),Actuals!CQ52)</f>
        <v/>
      </c>
      <c r="CQ144" s="401">
        <f>IF(ISBLANK(Actuals!CR52),-MAX(0,'BD Commission Detail'!CR53),Actuals!CR52)</f>
        <v/>
      </c>
      <c r="CR144" s="401">
        <f>IF(ISBLANK(Actuals!CS52),-MAX(0,'BD Commission Detail'!CS53),Actuals!CS52)</f>
        <v/>
      </c>
      <c r="CS144" s="401">
        <f>IF(ISBLANK(Actuals!CT52),-MAX(0,'BD Commission Detail'!CT53),Actuals!CT52)</f>
        <v/>
      </c>
      <c r="CT144" s="401">
        <f>IF(ISBLANK(Actuals!CU52),-MAX(0,'BD Commission Detail'!CU53),Actuals!CU52)</f>
        <v/>
      </c>
      <c r="CU144" s="401">
        <f>IF(ISBLANK(Actuals!CV52),-MAX(0,'BD Commission Detail'!CV53),Actuals!CV52)</f>
        <v/>
      </c>
      <c r="CV144" s="401">
        <f>IF(ISBLANK(Actuals!CW52),-MAX(0,'BD Commission Detail'!CW53),Actuals!CW52)</f>
        <v/>
      </c>
      <c r="CW144" s="401">
        <f>IF(ISBLANK(Actuals!CX52),-MAX(0,'BD Commission Detail'!CX53),Actuals!CX52)</f>
        <v/>
      </c>
      <c r="CX144" s="401">
        <f>IF(ISBLANK(Actuals!CY52),-MAX(0,'BD Commission Detail'!CY53),Actuals!CY52)</f>
        <v/>
      </c>
      <c r="CY144" s="401">
        <f>IF(ISBLANK(Actuals!CZ52),-MAX(0,'BD Commission Detail'!CZ53),Actuals!CZ52)</f>
        <v/>
      </c>
      <c r="CZ144" s="401">
        <f>IF(ISBLANK(Actuals!DA52),-MAX(0,'BD Commission Detail'!DA53),Actuals!DA52)</f>
        <v/>
      </c>
      <c r="DA144" s="401">
        <f>IF(ISBLANK(Actuals!DB52),-MAX(0,'BD Commission Detail'!DB53),Actuals!DB52)</f>
        <v/>
      </c>
      <c r="DB144" s="401">
        <f>IF(ISBLANK(Actuals!DC52),-MAX(0,'BD Commission Detail'!DC53),Actuals!DC52)</f>
        <v/>
      </c>
      <c r="DC144" s="401">
        <f>IF(ISBLANK(Actuals!DD52),-MAX(0,'BD Commission Detail'!DD53),Actuals!DD52)</f>
        <v/>
      </c>
      <c r="DD144" s="401">
        <f>IF(ISBLANK(Actuals!DE52),-MAX(0,'BD Commission Detail'!DE53),Actuals!DE52)</f>
        <v/>
      </c>
      <c r="DE144" s="401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Format="1" customHeight="1" s="380">
      <c r="A145" s="397" t="inlineStr">
        <is>
          <t>8200-2000 State Tax and Fees</t>
        </is>
      </c>
      <c r="B145" s="401">
        <f>IF(ISBLANK(Actuals!C53),0,Actuals!C53)</f>
        <v/>
      </c>
      <c r="C145" s="401">
        <f>IF(ISBLANK(Actuals!D53),0,Actuals!D53)</f>
        <v/>
      </c>
      <c r="D145" s="401">
        <f>IF(ISBLANK(Actuals!E53),0,Actuals!E53)</f>
        <v/>
      </c>
      <c r="E145" s="401">
        <f>IF(ISBLANK(Actuals!F53),-3701.78*Escalation!$B$2,Actuals!F53)</f>
        <v/>
      </c>
      <c r="F145" s="401">
        <f>IF(ISBLANK(Actuals!G53),-3701.78*Escalation!$B$3,Actuals!G53)</f>
        <v/>
      </c>
      <c r="G145" s="401">
        <f>IF(ISBLANK(Actuals!H53),-3701.78*Escalation!$B$4,Actuals!H53)</f>
        <v/>
      </c>
      <c r="H145" s="401">
        <f>IF(ISBLANK(Actuals!I53),-3701.78*Escalation!$B$5,Actuals!I53)</f>
        <v/>
      </c>
      <c r="I145" s="401">
        <f>IF(ISBLANK(Actuals!J53),-3701.78*Escalation!$B$6,Actuals!J53)</f>
        <v/>
      </c>
      <c r="J145" s="401">
        <f>IF(ISBLANK(Actuals!K53),-3701.78*Escalation!$B$7,Actuals!K53)</f>
        <v/>
      </c>
      <c r="K145" s="401">
        <f>IF(ISBLANK(Actuals!L53),-3701.78*Escalation!$B$8,Actuals!L53)</f>
        <v/>
      </c>
      <c r="L145" s="401">
        <f>IF(ISBLANK(Actuals!M53),-3701.78*Escalation!$B$9,Actuals!M53)</f>
        <v/>
      </c>
      <c r="M145" s="401">
        <f>IF(ISBLANK(Actuals!N53),-3701.78*Escalation!$B$10,Actuals!N53)</f>
        <v/>
      </c>
      <c r="N145" s="401">
        <f>IF(ISBLANK(Actuals!O53),-3701.78*Escalation!$B$11,Actuals!O53)</f>
        <v/>
      </c>
      <c r="O145" s="401">
        <f>IF(ISBLANK(Actuals!P53),-3701.78*Escalation!$B$12,Actuals!P53)</f>
        <v/>
      </c>
      <c r="P145" s="401">
        <f>IF(ISBLANK(Actuals!Q53),-3701.78*Escalation!$B$13,Actuals!Q53)</f>
        <v/>
      </c>
      <c r="Q145" s="401">
        <f>IF(ISBLANK(Actuals!R53),-3701.78*Escalation!$B$14,Actuals!R53)</f>
        <v/>
      </c>
      <c r="R145" s="401">
        <f>IF(ISBLANK(Actuals!S53),-3701.78*Escalation!$B$15,Actuals!S53)</f>
        <v/>
      </c>
      <c r="S145" s="401">
        <f>IF(ISBLANK(Actuals!T53),-3701.78*Escalation!$B$16,Actuals!T53)</f>
        <v/>
      </c>
      <c r="T145" s="401">
        <f>IF(ISBLANK(Actuals!U53),-3701.78*Escalation!$B$17,Actuals!U53)</f>
        <v/>
      </c>
      <c r="U145" s="401">
        <f>IF(ISBLANK(Actuals!V53),-3701.78*Escalation!$B$18,Actuals!V53)</f>
        <v/>
      </c>
      <c r="V145" s="401">
        <f>IF(ISBLANK(Actuals!W53),-3701.78*Escalation!$B$19,Actuals!W53)</f>
        <v/>
      </c>
      <c r="W145" s="401">
        <f>IF(ISBLANK(Actuals!X53),-3701.78*Escalation!$B$20,Actuals!X53)</f>
        <v/>
      </c>
      <c r="X145" s="401">
        <f>IF(ISBLANK(Actuals!Y53),-3701.78*Escalation!$B$21,Actuals!Y53)</f>
        <v/>
      </c>
      <c r="Y145" s="401">
        <f>IF(ISBLANK(Actuals!Z53),-3701.78*Escalation!$B$22,Actuals!Z53)</f>
        <v/>
      </c>
      <c r="Z145" s="401">
        <f>IF(ISBLANK(Actuals!AA53),-3701.78*Escalation!$B$23,Actuals!AA53)</f>
        <v/>
      </c>
      <c r="AA145" s="401">
        <f>IF(ISBLANK(Actuals!AB53),-3701.78*Escalation!$B$24,Actuals!AB53)</f>
        <v/>
      </c>
      <c r="AB145" s="401">
        <f>IF(ISBLANK(Actuals!AC53),-3701.78*Escalation!$B$25,Actuals!AC53)</f>
        <v/>
      </c>
      <c r="AC145" s="401">
        <f>IF(ISBLANK(Actuals!AD53),-3701.78*Escalation!$B$26,Actuals!AD53)</f>
        <v/>
      </c>
      <c r="AD145" s="401">
        <f>IF(ISBLANK(Actuals!AE53),-3701.78*Escalation!$B$27,Actuals!AE53)</f>
        <v/>
      </c>
      <c r="AE145" s="401">
        <f>IF(ISBLANK(Actuals!AF53),-3701.78*Escalation!$B$28,Actuals!AF53)</f>
        <v/>
      </c>
      <c r="AF145" s="401">
        <f>IF(ISBLANK(Actuals!AG53),-3701.78*Escalation!$B$29,Actuals!AG53)</f>
        <v/>
      </c>
      <c r="AG145" s="401">
        <f>IF(ISBLANK(Actuals!AH53),-3701.78*Escalation!$B$30,Actuals!AH53)</f>
        <v/>
      </c>
      <c r="AH145" s="401">
        <f>IF(ISBLANK(Actuals!AI53),-3701.78*Escalation!$B$31,Actuals!AI53)</f>
        <v/>
      </c>
      <c r="AI145" s="401">
        <f>IF(ISBLANK(Actuals!AJ53),-3701.78*Escalation!$B$32,Actuals!AJ53)</f>
        <v/>
      </c>
      <c r="AJ145" s="401">
        <f>IF(ISBLANK(Actuals!AK53),-3701.78*Escalation!$B$33,Actuals!AK53)</f>
        <v/>
      </c>
      <c r="AK145" s="401">
        <f>IF(ISBLANK(Actuals!AL53),-3701.78*Escalation!$B$34,Actuals!AL53)</f>
        <v/>
      </c>
      <c r="AL145" s="401">
        <f>IF(ISBLANK(Actuals!AM53),-3701.78*Escalation!$B$35,Actuals!AM53)</f>
        <v/>
      </c>
      <c r="AM145" s="401">
        <f>IF(ISBLANK(Actuals!AN53),-3701.78*Escalation!$B$36,Actuals!AN53)</f>
        <v/>
      </c>
      <c r="AN145" s="401">
        <f>IF(ISBLANK(Actuals!AO53),-3701.78*Escalation!$B$37,Actuals!AO53)</f>
        <v/>
      </c>
      <c r="AO145" s="401">
        <f>IF(ISBLANK(Actuals!AP53),-3701.78*Escalation!$B$38,Actuals!AP53)</f>
        <v/>
      </c>
      <c r="AP145" s="401">
        <f>IF(ISBLANK(Actuals!AQ53),-3701.78*Escalation!$B$39,Actuals!AQ53)</f>
        <v/>
      </c>
      <c r="AQ145" s="401">
        <f>IF(ISBLANK(Actuals!AR53),-3701.78*Escalation!$B$40,Actuals!AR53)</f>
        <v/>
      </c>
      <c r="AR145" s="401">
        <f>IF(ISBLANK(Actuals!AS53),-3701.78*Escalation!$B$41,Actuals!AS53)</f>
        <v/>
      </c>
      <c r="AS145" s="401">
        <f>IF(ISBLANK(Actuals!AT53),-3701.78*Escalation!$B$42,Actuals!AT53)</f>
        <v/>
      </c>
      <c r="AT145" s="401">
        <f>IF(ISBLANK(Actuals!AU53),-3701.78*Escalation!$B$43,Actuals!AU53)</f>
        <v/>
      </c>
      <c r="AU145" s="401">
        <f>IF(ISBLANK(Actuals!AV53),-3701.78*Escalation!$B$44,Actuals!AV53)</f>
        <v/>
      </c>
      <c r="AV145" s="401">
        <f>IF(ISBLANK(Actuals!AW53),-3701.78*Escalation!$B$45,Actuals!AW53)</f>
        <v/>
      </c>
      <c r="AW145" s="401">
        <f>IF(ISBLANK(Actuals!AX53),-3701.78*Escalation!$B$46,Actuals!AX53)</f>
        <v/>
      </c>
      <c r="AX145" s="401">
        <f>IF(ISBLANK(Actuals!AY53),-3701.78*Escalation!$B$47,Actuals!AY53)</f>
        <v/>
      </c>
      <c r="AY145" s="401">
        <f>IF(ISBLANK(Actuals!AZ53),-3701.78*Escalation!$B$48,Actuals!AZ53)</f>
        <v/>
      </c>
      <c r="AZ145" s="401">
        <f>IF(ISBLANK(Actuals!BA53),-3701.78*Escalation!$B$49,Actuals!BA53)</f>
        <v/>
      </c>
      <c r="BA145" s="401">
        <f>IF(ISBLANK(Actuals!BB53),-3701.78*Escalation!$B$50,Actuals!BB53)</f>
        <v/>
      </c>
      <c r="BB145" s="401">
        <f>IF(ISBLANK(Actuals!BC53),-3701.78*Escalation!$B$51,Actuals!BC53)</f>
        <v/>
      </c>
      <c r="BC145" s="401">
        <f>IF(ISBLANK(Actuals!BD53),-3701.78*Escalation!$B$52,Actuals!BD53)</f>
        <v/>
      </c>
      <c r="BD145" s="401">
        <f>IF(ISBLANK(Actuals!BE53),-3701.78*Escalation!$B$53,Actuals!BE53)</f>
        <v/>
      </c>
      <c r="BE145" s="401">
        <f>IF(ISBLANK(Actuals!BF53),-3701.78*Escalation!$B$54,Actuals!BF53)</f>
        <v/>
      </c>
      <c r="BF145" s="401">
        <f>IF(ISBLANK(Actuals!BG53),-3701.78*Escalation!$B$55,Actuals!BG53)</f>
        <v/>
      </c>
      <c r="BG145" s="401">
        <f>IF(ISBLANK(Actuals!BH53),-3701.78*Escalation!$B$56,Actuals!BH53)</f>
        <v/>
      </c>
      <c r="BH145" s="401">
        <f>IF(ISBLANK(Actuals!BI53),-3701.78*Escalation!$B$57,Actuals!BI53)</f>
        <v/>
      </c>
      <c r="BI145" s="401">
        <f>IF(ISBLANK(Actuals!BJ53),-3701.78*Escalation!$B$58,Actuals!BJ53)</f>
        <v/>
      </c>
      <c r="BJ145" s="401">
        <f>IF(ISBLANK(Actuals!BK53),-3701.78*Escalation!$B$59,Actuals!BK53)</f>
        <v/>
      </c>
      <c r="BK145" s="401">
        <f>IF(ISBLANK(Actuals!BL53),-3701.78*Escalation!$B$60,Actuals!BL53)</f>
        <v/>
      </c>
      <c r="BL145" s="401">
        <f>IF(ISBLANK(Actuals!BM53),-3701.78*Escalation!$B$61,Actuals!BM53)</f>
        <v/>
      </c>
      <c r="BM145" s="401">
        <f>IF(ISBLANK(Actuals!BN53),-3701.78*Escalation!$B$62,Actuals!BN53)</f>
        <v/>
      </c>
      <c r="BN145" s="401">
        <f>IF(ISBLANK(Actuals!BO53),-3701.78*Escalation!$B$63,Actuals!BO53)</f>
        <v/>
      </c>
      <c r="BO145" s="401">
        <f>IF(ISBLANK(Actuals!BP53),-3701.78*Escalation!$B$64,Actuals!BP53)</f>
        <v/>
      </c>
      <c r="BP145" s="401">
        <f>IF(ISBLANK(Actuals!BQ53),-3701.78*Escalation!$B$65,Actuals!BQ53)</f>
        <v/>
      </c>
      <c r="BQ145" s="401">
        <f>IF(ISBLANK(Actuals!BR53),-3701.78*Escalation!$B$66,Actuals!BR53)</f>
        <v/>
      </c>
      <c r="BR145" s="401">
        <f>IF(ISBLANK(Actuals!BS53),-3701.78*Escalation!$B$67,Actuals!BS53)</f>
        <v/>
      </c>
      <c r="BS145" s="401">
        <f>IF(ISBLANK(Actuals!BT53),-3701.78*Escalation!$B$68,Actuals!BT53)</f>
        <v/>
      </c>
      <c r="BT145" s="401">
        <f>IF(ISBLANK(Actuals!BU53),-3701.78*Escalation!$B$69,Actuals!BU53)</f>
        <v/>
      </c>
      <c r="BU145" s="401">
        <f>IF(ISBLANK(Actuals!BV53),-3701.78*Escalation!$B$70,Actuals!BV53)</f>
        <v/>
      </c>
      <c r="BV145" s="401">
        <f>IF(ISBLANK(Actuals!BW53),-3701.78*Escalation!$B$71,Actuals!BW53)</f>
        <v/>
      </c>
      <c r="BW145" s="401">
        <f>IF(ISBLANK(Actuals!BX53),-3701.78*Escalation!$B$72,Actuals!BX53)</f>
        <v/>
      </c>
      <c r="BX145" s="401">
        <f>IF(ISBLANK(Actuals!BY53),-3701.78*Escalation!$B$73,Actuals!BY53)</f>
        <v/>
      </c>
      <c r="BY145" s="401">
        <f>IF(ISBLANK(Actuals!BZ53),-3701.78*Escalation!$B$74,Actuals!BZ53)</f>
        <v/>
      </c>
      <c r="BZ145" s="401">
        <f>IF(ISBLANK(Actuals!CA53),-3701.78*Escalation!$B$75,Actuals!CA53)</f>
        <v/>
      </c>
      <c r="CA145" s="401">
        <f>IF(ISBLANK(Actuals!CB53),-3701.78*Escalation!$B$76,Actuals!CB53)</f>
        <v/>
      </c>
      <c r="CB145" s="401">
        <f>IF(ISBLANK(Actuals!CC53),-3701.78*Escalation!$B$77,Actuals!CC53)</f>
        <v/>
      </c>
      <c r="CC145" s="401">
        <f>IF(ISBLANK(Actuals!CD53),-3701.78*Escalation!$B$78,Actuals!CD53)</f>
        <v/>
      </c>
      <c r="CD145" s="401">
        <f>IF(ISBLANK(Actuals!CE53),-3701.78*Escalation!$B$79,Actuals!CE53)</f>
        <v/>
      </c>
      <c r="CE145" s="401">
        <f>IF(ISBLANK(Actuals!CF53),-3701.78*Escalation!$B$80,Actuals!CF53)</f>
        <v/>
      </c>
      <c r="CF145" s="401">
        <f>IF(ISBLANK(Actuals!CG53),-3701.78*Escalation!$B$81,Actuals!CG53)</f>
        <v/>
      </c>
      <c r="CG145" s="401">
        <f>IF(ISBLANK(Actuals!CH53),-3701.78*Escalation!$B$82,Actuals!CH53)</f>
        <v/>
      </c>
      <c r="CH145" s="401">
        <f>IF(ISBLANK(Actuals!CI53),-3701.78*Escalation!$B$83,Actuals!CI53)</f>
        <v/>
      </c>
      <c r="CI145" s="401">
        <f>IF(ISBLANK(Actuals!CJ53),-3701.78*Escalation!$B$84,Actuals!CJ53)</f>
        <v/>
      </c>
      <c r="CJ145" s="401">
        <f>IF(ISBLANK(Actuals!CK53),-3701.78*Escalation!$B$85,Actuals!CK53)</f>
        <v/>
      </c>
      <c r="CK145" s="401">
        <f>IF(ISBLANK(Actuals!CL53),-3701.78*Escalation!$B$86,Actuals!CL53)</f>
        <v/>
      </c>
      <c r="CL145" s="401">
        <f>IF(ISBLANK(Actuals!CM53),-3701.78*Escalation!$B$87,Actuals!CM53)</f>
        <v/>
      </c>
      <c r="CM145" s="401">
        <f>IF(ISBLANK(Actuals!CN53),-3701.78*Escalation!$B$88,Actuals!CN53)</f>
        <v/>
      </c>
      <c r="CN145" s="401">
        <f>IF(ISBLANK(Actuals!CO53),-3701.78*Escalation!$B$89,Actuals!CO53)</f>
        <v/>
      </c>
      <c r="CO145" s="401">
        <f>IF(ISBLANK(Actuals!CP53),-3701.78*Escalation!$B$90,Actuals!CP53)</f>
        <v/>
      </c>
      <c r="CP145" s="401">
        <f>IF(ISBLANK(Actuals!CQ53),-3701.78*Escalation!$B$91,Actuals!CQ53)</f>
        <v/>
      </c>
      <c r="CQ145" s="401">
        <f>IF(ISBLANK(Actuals!CR53),-3701.78*Escalation!$B$92,Actuals!CR53)</f>
        <v/>
      </c>
      <c r="CR145" s="401">
        <f>IF(ISBLANK(Actuals!CS53),-3701.78*Escalation!$B$93,Actuals!CS53)</f>
        <v/>
      </c>
      <c r="CS145" s="401">
        <f>IF(ISBLANK(Actuals!CT53),-3701.78*Escalation!$B$94,Actuals!CT53)</f>
        <v/>
      </c>
      <c r="CT145" s="401">
        <f>IF(ISBLANK(Actuals!CU53),-3701.78*Escalation!$B$95,Actuals!CU53)</f>
        <v/>
      </c>
      <c r="CU145" s="401">
        <f>IF(ISBLANK(Actuals!CV53),-3701.78*Escalation!$B$96,Actuals!CV53)</f>
        <v/>
      </c>
      <c r="CV145" s="401">
        <f>IF(ISBLANK(Actuals!CW53),-3701.78*Escalation!$B$97,Actuals!CW53)</f>
        <v/>
      </c>
      <c r="CW145" s="401">
        <f>IF(ISBLANK(Actuals!CX53),-3701.78*Escalation!$B$98,Actuals!CX53)</f>
        <v/>
      </c>
      <c r="CX145" s="401">
        <f>IF(ISBLANK(Actuals!CY53),-3701.78*Escalation!$B$99,Actuals!CY53)</f>
        <v/>
      </c>
      <c r="CY145" s="401">
        <f>IF(ISBLANK(Actuals!CZ53),-3701.78*Escalation!$B$100,Actuals!CZ53)</f>
        <v/>
      </c>
      <c r="CZ145" s="401">
        <f>IF(ISBLANK(Actuals!DA53),-3701.78*Escalation!$B$101,Actuals!DA53)</f>
        <v/>
      </c>
      <c r="DA145" s="401">
        <f>IF(ISBLANK(Actuals!DB53),-3701.78*Escalation!$B$102,Actuals!DB53)</f>
        <v/>
      </c>
      <c r="DB145" s="401">
        <f>IF(ISBLANK(Actuals!DC53),-3701.78*Escalation!$B$103,Actuals!DC53)</f>
        <v/>
      </c>
      <c r="DC145" s="401">
        <f>IF(ISBLANK(Actuals!DD53),-3701.78*Escalation!$B$104,Actuals!DD53)</f>
        <v/>
      </c>
      <c r="DD145" s="401">
        <f>IF(ISBLANK(Actuals!DE53),-3701.78*Escalation!$B$105,Actuals!DE53)</f>
        <v/>
      </c>
      <c r="DE145" s="401">
        <f>IF(ISBLANK(Actuals!DF53),-3701.78*Escalation!$B$106,Actuals!DF53)</f>
        <v/>
      </c>
    </row>
    <row r="146" ht="15" customFormat="1" customHeight="1" s="380">
      <c r="A146" s="408" t="inlineStr">
        <is>
          <t>Total GC Costs</t>
        </is>
      </c>
      <c r="B146" s="409">
        <f>SUM(B112:B145)+Actuals!C54</f>
        <v/>
      </c>
      <c r="C146" s="409">
        <f>SUM(C112:C145)+Actuals!D54</f>
        <v/>
      </c>
      <c r="D146" s="409">
        <f>SUM(D112:D145)+Actuals!E54</f>
        <v/>
      </c>
      <c r="E146" s="409">
        <f>SUM(E112:E145)+Actuals!F54</f>
        <v/>
      </c>
      <c r="F146" s="409">
        <f>SUM(F112:F145)+Actuals!G54</f>
        <v/>
      </c>
      <c r="G146" s="409">
        <f>SUM(G112:G145)+Actuals!H54</f>
        <v/>
      </c>
      <c r="H146" s="409">
        <f>SUM(H112:H145)+Actuals!I54</f>
        <v/>
      </c>
      <c r="I146" s="409">
        <f>SUM(I112:I145)+Actuals!J54</f>
        <v/>
      </c>
      <c r="J146" s="409">
        <f>SUM(J112:J145)+Actuals!K54</f>
        <v/>
      </c>
      <c r="K146" s="409">
        <f>SUM(K112:K145)+Actuals!L54</f>
        <v/>
      </c>
      <c r="L146" s="409">
        <f>SUM(L112:L145)+Actuals!M54</f>
        <v/>
      </c>
      <c r="M146" s="409">
        <f>SUM(M112:M145)+Actuals!N54</f>
        <v/>
      </c>
      <c r="N146" s="409">
        <f>SUM(N112:N145)+Actuals!O54</f>
        <v/>
      </c>
      <c r="O146" s="409">
        <f>SUM(O112:O145)+Actuals!P54</f>
        <v/>
      </c>
      <c r="P146" s="409">
        <f>SUM(P112:P145)+Actuals!Q54</f>
        <v/>
      </c>
      <c r="Q146" s="409">
        <f>SUM(Q112:Q145)+Actuals!R54</f>
        <v/>
      </c>
      <c r="R146" s="409">
        <f>SUM(R112:R145)+Actuals!S54</f>
        <v/>
      </c>
      <c r="S146" s="409">
        <f>SUM(S112:S145)+Actuals!T54</f>
        <v/>
      </c>
      <c r="T146" s="409">
        <f>SUM(T112:T145)+Actuals!U54</f>
        <v/>
      </c>
      <c r="U146" s="409">
        <f>SUM(U112:U145)+Actuals!V54</f>
        <v/>
      </c>
      <c r="V146" s="409">
        <f>SUM(V112:V145)+Actuals!W54</f>
        <v/>
      </c>
      <c r="W146" s="409">
        <f>SUM(W112:W145)+Actuals!X54</f>
        <v/>
      </c>
      <c r="X146" s="409">
        <f>SUM(X112:X145)+Actuals!Y54</f>
        <v/>
      </c>
      <c r="Y146" s="409">
        <f>SUM(Y112:Y145)+Actuals!Z54</f>
        <v/>
      </c>
      <c r="Z146" s="409">
        <f>SUM(Z112:Z145)+Actuals!AA54</f>
        <v/>
      </c>
      <c r="AA146" s="409">
        <f>SUM(AA112:AA145)+Actuals!AB54</f>
        <v/>
      </c>
      <c r="AB146" s="409">
        <f>SUM(AB112:AB145)+Actuals!AC54</f>
        <v/>
      </c>
      <c r="AC146" s="409">
        <f>SUM(AC112:AC145)+Actuals!AD54</f>
        <v/>
      </c>
      <c r="AD146" s="409">
        <f>SUM(AD112:AD145)+Actuals!AE54</f>
        <v/>
      </c>
      <c r="AE146" s="409">
        <f>SUM(AE112:AE145)+Actuals!AF54</f>
        <v/>
      </c>
      <c r="AF146" s="409">
        <f>SUM(AF112:AF145)+Actuals!AG54</f>
        <v/>
      </c>
      <c r="AG146" s="409">
        <f>SUM(AG112:AG145)+Actuals!AH54</f>
        <v/>
      </c>
      <c r="AH146" s="409">
        <f>SUM(AH112:AH145)+Actuals!AI54</f>
        <v/>
      </c>
      <c r="AI146" s="409">
        <f>SUM(AI112:AI145)+Actuals!AJ54</f>
        <v/>
      </c>
      <c r="AJ146" s="409">
        <f>SUM(AJ112:AJ145)+Actuals!AK54</f>
        <v/>
      </c>
      <c r="AK146" s="409">
        <f>SUM(AK112:AK145)+Actuals!AL54</f>
        <v/>
      </c>
      <c r="AL146" s="409">
        <f>SUM(AL112:AL145)+Actuals!AM54</f>
        <v/>
      </c>
      <c r="AM146" s="409">
        <f>SUM(AM112:AM145)+Actuals!AN54</f>
        <v/>
      </c>
      <c r="AN146" s="409">
        <f>SUM(AN112:AN145)+Actuals!AO54</f>
        <v/>
      </c>
      <c r="AO146" s="409">
        <f>SUM(AO112:AO145)+Actuals!AP54</f>
        <v/>
      </c>
      <c r="AP146" s="409">
        <f>SUM(AP112:AP145)+Actuals!AQ54</f>
        <v/>
      </c>
      <c r="AQ146" s="409">
        <f>SUM(AQ112:AQ145)+Actuals!AR54</f>
        <v/>
      </c>
      <c r="AR146" s="409">
        <f>SUM(AR112:AR145)+Actuals!AS54</f>
        <v/>
      </c>
      <c r="AS146" s="409">
        <f>SUM(AS112:AS145)+Actuals!AT54</f>
        <v/>
      </c>
      <c r="AT146" s="409">
        <f>SUM(AT112:AT145)+Actuals!AU54</f>
        <v/>
      </c>
      <c r="AU146" s="409">
        <f>SUM(AU112:AU145)+Actuals!AV54</f>
        <v/>
      </c>
      <c r="AV146" s="409">
        <f>SUM(AV112:AV145)+Actuals!AW54</f>
        <v/>
      </c>
      <c r="AW146" s="409">
        <f>SUM(AW112:AW145)+Actuals!AX54</f>
        <v/>
      </c>
      <c r="AX146" s="409">
        <f>SUM(AX112:AX145)+Actuals!AY54</f>
        <v/>
      </c>
      <c r="AY146" s="409">
        <f>SUM(AY112:AY145)+Actuals!AZ54</f>
        <v/>
      </c>
      <c r="AZ146" s="409">
        <f>SUM(AZ112:AZ145)+Actuals!BA54</f>
        <v/>
      </c>
      <c r="BA146" s="409">
        <f>SUM(BA112:BA145)+Actuals!BB54</f>
        <v/>
      </c>
      <c r="BB146" s="409">
        <f>SUM(BB112:BB145)+Actuals!BC54</f>
        <v/>
      </c>
      <c r="BC146" s="409">
        <f>SUM(BC112:BC145)+Actuals!BD54</f>
        <v/>
      </c>
      <c r="BD146" s="409">
        <f>SUM(BD112:BD145)+Actuals!BE54</f>
        <v/>
      </c>
      <c r="BE146" s="409">
        <f>SUM(BE112:BE145)+Actuals!BF54</f>
        <v/>
      </c>
      <c r="BF146" s="409">
        <f>SUM(BF112:BF145)+Actuals!BG54</f>
        <v/>
      </c>
      <c r="BG146" s="409">
        <f>SUM(BG112:BG145)+Actuals!BH54</f>
        <v/>
      </c>
      <c r="BH146" s="409">
        <f>SUM(BH112:BH145)+Actuals!BI54</f>
        <v/>
      </c>
      <c r="BI146" s="409">
        <f>SUM(BI112:BI145)+Actuals!BJ54</f>
        <v/>
      </c>
      <c r="BJ146" s="409">
        <f>SUM(BJ112:BJ145)+Actuals!BK54</f>
        <v/>
      </c>
      <c r="BK146" s="409">
        <f>SUM(BK112:BK145)+Actuals!BL54</f>
        <v/>
      </c>
      <c r="BL146" s="409">
        <f>SUM(BL112:BL145)+Actuals!BM54</f>
        <v/>
      </c>
      <c r="BM146" s="409">
        <f>SUM(BM112:BM145)+Actuals!BN54</f>
        <v/>
      </c>
      <c r="BN146" s="409">
        <f>SUM(BN112:BN145)+Actuals!BO54</f>
        <v/>
      </c>
      <c r="BO146" s="409">
        <f>SUM(BO112:BO145)+Actuals!BP54</f>
        <v/>
      </c>
      <c r="BP146" s="409">
        <f>SUM(BP112:BP145)+Actuals!BQ54</f>
        <v/>
      </c>
      <c r="BQ146" s="409">
        <f>SUM(BQ112:BQ145)+Actuals!BR54</f>
        <v/>
      </c>
      <c r="BR146" s="409">
        <f>SUM(BR112:BR145)+Actuals!BS54</f>
        <v/>
      </c>
      <c r="BS146" s="409">
        <f>SUM(BS112:BS145)+Actuals!BT54</f>
        <v/>
      </c>
      <c r="BT146" s="409">
        <f>SUM(BT112:BT145)+Actuals!BU54</f>
        <v/>
      </c>
      <c r="BU146" s="409">
        <f>SUM(BU112:BU145)+Actuals!BV54</f>
        <v/>
      </c>
      <c r="BV146" s="409">
        <f>SUM(BV112:BV145)+Actuals!BW54</f>
        <v/>
      </c>
      <c r="BW146" s="409">
        <f>SUM(BW112:BW145)+Actuals!BX54</f>
        <v/>
      </c>
      <c r="BX146" s="409">
        <f>SUM(BX112:BX145)+Actuals!BY54</f>
        <v/>
      </c>
      <c r="BY146" s="409">
        <f>SUM(BY112:BY145)+Actuals!BZ54</f>
        <v/>
      </c>
      <c r="BZ146" s="409">
        <f>SUM(BZ112:BZ145)+Actuals!CA54</f>
        <v/>
      </c>
      <c r="CA146" s="409">
        <f>SUM(CA112:CA145)+Actuals!CB54</f>
        <v/>
      </c>
      <c r="CB146" s="409">
        <f>SUM(CB112:CB145)+Actuals!CC54</f>
        <v/>
      </c>
      <c r="CC146" s="409">
        <f>SUM(CC112:CC145)+Actuals!CD54</f>
        <v/>
      </c>
      <c r="CD146" s="409">
        <f>SUM(CD112:CD145)+Actuals!CE54</f>
        <v/>
      </c>
      <c r="CE146" s="409">
        <f>SUM(CE112:CE145)+Actuals!CF54</f>
        <v/>
      </c>
      <c r="CF146" s="409">
        <f>SUM(CF112:CF145)+Actuals!CG54</f>
        <v/>
      </c>
      <c r="CG146" s="409">
        <f>SUM(CG112:CG145)+Actuals!CH54</f>
        <v/>
      </c>
      <c r="CH146" s="409">
        <f>SUM(CH112:CH145)+Actuals!CI54</f>
        <v/>
      </c>
      <c r="CI146" s="409">
        <f>SUM(CI112:CI145)+Actuals!CJ54</f>
        <v/>
      </c>
      <c r="CJ146" s="409">
        <f>SUM(CJ112:CJ145)+Actuals!CK54</f>
        <v/>
      </c>
      <c r="CK146" s="409">
        <f>SUM(CK112:CK145)+Actuals!CL54</f>
        <v/>
      </c>
      <c r="CL146" s="409">
        <f>SUM(CL112:CL145)+Actuals!CM54</f>
        <v/>
      </c>
      <c r="CM146" s="409">
        <f>SUM(CM112:CM145)+Actuals!CN54</f>
        <v/>
      </c>
      <c r="CN146" s="409">
        <f>SUM(CN112:CN145)+Actuals!CO54</f>
        <v/>
      </c>
      <c r="CO146" s="409">
        <f>SUM(CO112:CO145)+Actuals!CP54</f>
        <v/>
      </c>
      <c r="CP146" s="409">
        <f>SUM(CP112:CP145)+Actuals!CQ54</f>
        <v/>
      </c>
      <c r="CQ146" s="409">
        <f>SUM(CQ112:CQ145)+Actuals!CR54</f>
        <v/>
      </c>
      <c r="CR146" s="409">
        <f>SUM(CR112:CR145)+Actuals!CS54</f>
        <v/>
      </c>
      <c r="CS146" s="409">
        <f>SUM(CS112:CS145)+Actuals!CT54</f>
        <v/>
      </c>
      <c r="CT146" s="409">
        <f>SUM(CT112:CT145)+Actuals!CU54</f>
        <v/>
      </c>
      <c r="CU146" s="409">
        <f>SUM(CU112:CU145)+Actuals!CV54</f>
        <v/>
      </c>
      <c r="CV146" s="409">
        <f>SUM(CV112:CV145)+Actuals!CW54</f>
        <v/>
      </c>
      <c r="CW146" s="409">
        <f>SUM(CW112:CW145)+Actuals!CX54</f>
        <v/>
      </c>
      <c r="CX146" s="409">
        <f>SUM(CX112:CX145)+Actuals!CY54</f>
        <v/>
      </c>
      <c r="CY146" s="409">
        <f>SUM(CY112:CY145)+Actuals!CZ54</f>
        <v/>
      </c>
      <c r="CZ146" s="409">
        <f>SUM(CZ112:CZ145)+Actuals!DA54</f>
        <v/>
      </c>
      <c r="DA146" s="409">
        <f>SUM(DA112:DA145)+Actuals!DB54</f>
        <v/>
      </c>
      <c r="DB146" s="409">
        <f>SUM(DB112:DB145)+Actuals!DC54</f>
        <v/>
      </c>
      <c r="DC146" s="409">
        <f>SUM(DC112:DC145)+Actuals!DD54</f>
        <v/>
      </c>
      <c r="DD146" s="409">
        <f>SUM(DD112:DD145)+Actuals!DE54</f>
        <v/>
      </c>
      <c r="DE146" s="409">
        <f>SUM(DE112:DE145)+Actuals!DF54</f>
        <v/>
      </c>
    </row>
    <row r="147" ht="19.5" customFormat="1" customHeight="1" s="380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Format="1" customHeight="1" s="380">
      <c r="A148" s="397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Format="1" customHeight="1" s="380">
      <c r="A149" s="382" t="n"/>
      <c r="B149" s="392" t="n"/>
      <c r="C149" s="392" t="n"/>
      <c r="D149" s="392" t="n"/>
      <c r="E149" s="392" t="n"/>
      <c r="F149" s="392" t="n"/>
      <c r="G149" s="392" t="n"/>
      <c r="H149" s="392" t="n"/>
      <c r="I149" s="392" t="n"/>
      <c r="J149" s="392" t="n"/>
      <c r="K149" s="392" t="n"/>
      <c r="L149" s="392" t="n"/>
      <c r="M149" s="392" t="n"/>
      <c r="N149" s="392" t="n"/>
      <c r="O149" s="392" t="n"/>
      <c r="P149" s="392" t="n"/>
      <c r="Q149" s="392" t="n"/>
      <c r="R149" s="392" t="n"/>
      <c r="S149" s="392" t="n"/>
      <c r="T149" s="392" t="n"/>
      <c r="U149" s="392" t="n"/>
      <c r="V149" s="392" t="n"/>
      <c r="W149" s="392" t="n"/>
      <c r="X149" s="392" t="n"/>
      <c r="Y149" s="392" t="n"/>
      <c r="Z149" s="392" t="n"/>
      <c r="AA149" s="392" t="n"/>
      <c r="AB149" s="392" t="n"/>
      <c r="AC149" s="392" t="n"/>
      <c r="AD149" s="392" t="n"/>
      <c r="AE149" s="392" t="n"/>
      <c r="AF149" s="392" t="n"/>
      <c r="AG149" s="392" t="n"/>
      <c r="AH149" s="392" t="n"/>
      <c r="AI149" s="392" t="n"/>
      <c r="AJ149" s="392" t="n"/>
      <c r="AK149" s="392" t="n"/>
      <c r="AL149" s="392" t="n"/>
      <c r="AM149" s="392" t="n"/>
      <c r="AN149" s="392" t="n"/>
      <c r="AO149" s="392" t="n"/>
      <c r="AP149" s="392" t="n"/>
      <c r="AQ149" s="392" t="n"/>
      <c r="AR149" s="392" t="n"/>
      <c r="AS149" s="392" t="n"/>
      <c r="AT149" s="392" t="n"/>
      <c r="AU149" s="392" t="n"/>
      <c r="AV149" s="392" t="n"/>
      <c r="AW149" s="392" t="n"/>
      <c r="AX149" s="392" t="n"/>
      <c r="AY149" s="392" t="n"/>
      <c r="AZ149" s="392" t="n"/>
      <c r="BA149" s="392" t="n"/>
      <c r="BB149" s="392" t="n"/>
      <c r="BC149" s="392" t="n"/>
      <c r="BD149" s="392" t="n"/>
      <c r="BE149" s="392" t="n"/>
      <c r="BF149" s="392" t="n"/>
      <c r="BG149" s="392" t="n"/>
      <c r="BH149" s="392" t="n"/>
      <c r="BI149" s="392" t="n"/>
      <c r="BJ149" s="392" t="n"/>
      <c r="BK149" s="392" t="n"/>
      <c r="BL149" s="392" t="n"/>
      <c r="BM149" s="392" t="n"/>
      <c r="BN149" s="392" t="n"/>
      <c r="BO149" s="392" t="n"/>
      <c r="BP149" s="392" t="n"/>
      <c r="BQ149" s="392" t="n"/>
      <c r="BR149" s="392" t="n"/>
      <c r="BS149" s="392" t="n"/>
      <c r="BT149" s="392" t="n"/>
      <c r="BU149" s="392" t="n"/>
      <c r="BV149" s="392" t="n"/>
      <c r="BW149" s="392" t="n"/>
      <c r="BX149" s="392" t="n"/>
      <c r="BY149" s="392" t="n"/>
      <c r="BZ149" s="392" t="n"/>
      <c r="CA149" s="392" t="n"/>
      <c r="CB149" s="392" t="n"/>
      <c r="CC149" s="392" t="n"/>
      <c r="CD149" s="392" t="n"/>
      <c r="CE149" s="392" t="n"/>
      <c r="CF149" s="392" t="n"/>
      <c r="CG149" s="392" t="n"/>
      <c r="CH149" s="392" t="n"/>
      <c r="CI149" s="392" t="n"/>
      <c r="CJ149" s="392" t="n"/>
      <c r="CK149" s="392" t="n"/>
      <c r="CL149" s="392" t="n"/>
      <c r="CM149" s="392" t="n"/>
      <c r="CN149" s="392" t="n"/>
      <c r="CO149" s="392" t="n"/>
      <c r="CP149" s="392" t="n"/>
      <c r="CQ149" s="392" t="n"/>
      <c r="CR149" s="392" t="n"/>
      <c r="CS149" s="392" t="n"/>
      <c r="CT149" s="392" t="n"/>
      <c r="CU149" s="392" t="n"/>
      <c r="CV149" s="392" t="n"/>
      <c r="CW149" s="392" t="n"/>
      <c r="CX149" s="392" t="n"/>
      <c r="CY149" s="392" t="n"/>
      <c r="CZ149" s="392" t="n"/>
      <c r="DA149" s="392" t="n"/>
      <c r="DB149" s="392" t="n"/>
      <c r="DC149" s="392" t="n"/>
      <c r="DD149" s="392" t="n"/>
      <c r="DE149" s="392" t="n"/>
    </row>
    <row r="150" ht="15" customFormat="1" customHeight="1" s="380">
      <c r="A150" s="402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Format="1" customHeight="1" s="380">
      <c r="A151" s="397" t="inlineStr">
        <is>
          <t>Edgemont Management Fee</t>
        </is>
      </c>
      <c r="B151" s="392">
        <f>IF(ISBLANK(Actuals!C64),0,Actuals!C64)</f>
        <v/>
      </c>
      <c r="C151" s="392">
        <f>IF(ISBLANK(Actuals!D64),0,Actuals!D64)</f>
        <v/>
      </c>
      <c r="D151" s="392">
        <f>IF(ISBLANK(Actuals!E64),0,Actuals!E64)</f>
        <v/>
      </c>
      <c r="E151" s="392">
        <f>IF(ISBLANK(Actuals!F64),IF(1&lt;=Assumptions!$B$68,Assumptions!$B$67,0),Actuals!F64)</f>
        <v/>
      </c>
      <c r="F151" s="392">
        <f>IF(ISBLANK(Actuals!G64),IF(2&lt;=Assumptions!$B$68,Assumptions!$B$67,0),Actuals!G64)</f>
        <v/>
      </c>
      <c r="G151" s="392">
        <f>IF(ISBLANK(Actuals!H64),IF(3&lt;=Assumptions!$B$68,Assumptions!$B$67,0),Actuals!H64)</f>
        <v/>
      </c>
      <c r="H151" s="392">
        <f>IF(ISBLANK(Actuals!I64),IF(4&lt;=Assumptions!$B$68,Assumptions!$B$67,0),Actuals!I64)</f>
        <v/>
      </c>
      <c r="I151" s="392">
        <f>IF(ISBLANK(Actuals!J64),IF(5&lt;=Assumptions!$B$68,Assumptions!$B$67,0),Actuals!J64)</f>
        <v/>
      </c>
      <c r="J151" s="392">
        <f>IF(ISBLANK(Actuals!K64),IF(6&lt;=Assumptions!$B$68,Assumptions!$B$67,0),Actuals!K64)</f>
        <v/>
      </c>
      <c r="K151" s="392">
        <f>IF(ISBLANK(Actuals!L64),IF(7&lt;=Assumptions!$B$68,Assumptions!$B$67,0),Actuals!L64)</f>
        <v/>
      </c>
      <c r="L151" s="392">
        <f>IF(ISBLANK(Actuals!M64),IF(8&lt;=Assumptions!$B$68,Assumptions!$B$67,0),Actuals!M64)</f>
        <v/>
      </c>
      <c r="M151" s="392">
        <f>IF(ISBLANK(Actuals!N64),IF(9&lt;=Assumptions!$B$68,Assumptions!$B$67,0),Actuals!N64)</f>
        <v/>
      </c>
      <c r="N151" s="392">
        <f>IF(ISBLANK(Actuals!O64),IF(10&lt;=Assumptions!$B$68,Assumptions!$B$67,0),Actuals!O64)</f>
        <v/>
      </c>
      <c r="O151" s="392">
        <f>IF(ISBLANK(Actuals!P64),IF(11&lt;=Assumptions!$B$68,Assumptions!$B$67,0),Actuals!P64)</f>
        <v/>
      </c>
      <c r="P151" s="392">
        <f>IF(ISBLANK(Actuals!Q64),IF(12&lt;=Assumptions!$B$68,Assumptions!$B$67,0),Actuals!Q64)</f>
        <v/>
      </c>
      <c r="Q151" s="392">
        <f>IF(ISBLANK(Actuals!R64),IF(13&lt;=Assumptions!$B$68,Assumptions!$B$67,0),Actuals!R64)</f>
        <v/>
      </c>
      <c r="R151" s="392">
        <f>IF(ISBLANK(Actuals!S64),IF(14&lt;=Assumptions!$B$68,Assumptions!$B$67,0),Actuals!S64)</f>
        <v/>
      </c>
      <c r="S151" s="392">
        <f>IF(ISBLANK(Actuals!T64),IF(15&lt;=Assumptions!$B$68,Assumptions!$B$67,0),Actuals!T64)</f>
        <v/>
      </c>
      <c r="T151" s="392">
        <f>IF(ISBLANK(Actuals!U64),IF(16&lt;=Assumptions!$B$68,Assumptions!$B$67,0),Actuals!U64)</f>
        <v/>
      </c>
      <c r="U151" s="392">
        <f>IF(ISBLANK(Actuals!V64),IF(17&lt;=Assumptions!$B$68,Assumptions!$B$67,0),Actuals!V64)</f>
        <v/>
      </c>
      <c r="V151" s="392">
        <f>IF(ISBLANK(Actuals!W64),IF(18&lt;=Assumptions!$B$68,Assumptions!$B$67,0),Actuals!W64)</f>
        <v/>
      </c>
      <c r="W151" s="392">
        <f>IF(ISBLANK(Actuals!X64),IF(19&lt;=Assumptions!$B$68,Assumptions!$B$67,0),Actuals!X64)</f>
        <v/>
      </c>
      <c r="X151" s="392">
        <f>IF(ISBLANK(Actuals!Y64),IF(20&lt;=Assumptions!$B$68,Assumptions!$B$67,0),Actuals!Y64)</f>
        <v/>
      </c>
      <c r="Y151" s="392">
        <f>IF(ISBLANK(Actuals!Z64),IF(21&lt;=Assumptions!$B$68,Assumptions!$B$67,0),Actuals!Z64)</f>
        <v/>
      </c>
      <c r="Z151" s="392">
        <f>IF(ISBLANK(Actuals!AA64),IF(22&lt;=Assumptions!$B$68,Assumptions!$B$67,0),Actuals!AA64)</f>
        <v/>
      </c>
      <c r="AA151" s="392">
        <f>IF(ISBLANK(Actuals!AB64),IF(23&lt;=Assumptions!$B$68,Assumptions!$B$67,0),Actuals!AB64)</f>
        <v/>
      </c>
      <c r="AB151" s="392">
        <f>IF(ISBLANK(Actuals!AC64),IF(24&lt;=Assumptions!$B$68,Assumptions!$B$67,0),Actuals!AC64)</f>
        <v/>
      </c>
      <c r="AC151" s="392">
        <f>IF(ISBLANK(Actuals!AD64),IF(25&lt;=Assumptions!$B$68,Assumptions!$B$67,0),Actuals!AD64)</f>
        <v/>
      </c>
      <c r="AD151" s="392">
        <f>IF(ISBLANK(Actuals!AE64),IF(26&lt;=Assumptions!$B$68,Assumptions!$B$67,0),Actuals!AE64)</f>
        <v/>
      </c>
      <c r="AE151" s="392">
        <f>IF(ISBLANK(Actuals!AF64),IF(27&lt;=Assumptions!$B$68,Assumptions!$B$67,0),Actuals!AF64)</f>
        <v/>
      </c>
      <c r="AF151" s="392">
        <f>IF(ISBLANK(Actuals!AG64),IF(28&lt;=Assumptions!$B$68,Assumptions!$B$67,0),Actuals!AG64)</f>
        <v/>
      </c>
      <c r="AG151" s="392">
        <f>IF(ISBLANK(Actuals!AH64),IF(29&lt;=Assumptions!$B$68,Assumptions!$B$67,0),Actuals!AH64)</f>
        <v/>
      </c>
      <c r="AH151" s="392">
        <f>IF(ISBLANK(Actuals!AI64),IF(30&lt;=Assumptions!$B$68,Assumptions!$B$67,0),Actuals!AI64)</f>
        <v/>
      </c>
      <c r="AI151" s="392">
        <f>IF(ISBLANK(Actuals!AJ64),IF(31&lt;=Assumptions!$B$68,Assumptions!$B$67,0),Actuals!AJ64)</f>
        <v/>
      </c>
      <c r="AJ151" s="392">
        <f>IF(ISBLANK(Actuals!AK64),IF(32&lt;=Assumptions!$B$68,Assumptions!$B$67,0),Actuals!AK64)</f>
        <v/>
      </c>
      <c r="AK151" s="392">
        <f>IF(ISBLANK(Actuals!AL64),IF(33&lt;=Assumptions!$B$68,Assumptions!$B$67,0),Actuals!AL64)</f>
        <v/>
      </c>
      <c r="AL151" s="392">
        <f>IF(ISBLANK(Actuals!AM64),IF(34&lt;=Assumptions!$B$68,Assumptions!$B$67,0),Actuals!AM64)</f>
        <v/>
      </c>
      <c r="AM151" s="392">
        <f>IF(ISBLANK(Actuals!AN64),IF(35&lt;=Assumptions!$B$68,Assumptions!$B$67,0),Actuals!AN64)</f>
        <v/>
      </c>
      <c r="AN151" s="392">
        <f>IF(ISBLANK(Actuals!AO64),IF(36&lt;=Assumptions!$B$68,Assumptions!$B$67,0),Actuals!AO64)</f>
        <v/>
      </c>
      <c r="AO151" s="392">
        <f>IF(ISBLANK(Actuals!AP64),IF(37&lt;=Assumptions!$B$68,Assumptions!$B$67,0),Actuals!AP64)</f>
        <v/>
      </c>
      <c r="AP151" s="392">
        <f>IF(ISBLANK(Actuals!AQ64),IF(38&lt;=Assumptions!$B$68,Assumptions!$B$67,0),Actuals!AQ64)</f>
        <v/>
      </c>
      <c r="AQ151" s="392">
        <f>IF(ISBLANK(Actuals!AR64),IF(39&lt;=Assumptions!$B$68,Assumptions!$B$67,0),Actuals!AR64)</f>
        <v/>
      </c>
      <c r="AR151" s="392">
        <f>IF(ISBLANK(Actuals!AS64),IF(40&lt;=Assumptions!$B$68,Assumptions!$B$67,0),Actuals!AS64)</f>
        <v/>
      </c>
      <c r="AS151" s="392">
        <f>IF(ISBLANK(Actuals!AT64),IF(41&lt;=Assumptions!$B$68,Assumptions!$B$67,0),Actuals!AT64)</f>
        <v/>
      </c>
      <c r="AT151" s="392">
        <f>IF(ISBLANK(Actuals!AU64),IF(42&lt;=Assumptions!$B$68,Assumptions!$B$67,0),Actuals!AU64)</f>
        <v/>
      </c>
      <c r="AU151" s="392">
        <f>IF(ISBLANK(Actuals!AV64),IF(43&lt;=Assumptions!$B$68,Assumptions!$B$67,0),Actuals!AV64)</f>
        <v/>
      </c>
      <c r="AV151" s="392">
        <f>IF(ISBLANK(Actuals!AW64),IF(44&lt;=Assumptions!$B$68,Assumptions!$B$67,0),Actuals!AW64)</f>
        <v/>
      </c>
      <c r="AW151" s="392">
        <f>IF(ISBLANK(Actuals!AX64),IF(45&lt;=Assumptions!$B$68,Assumptions!$B$67,0),Actuals!AX64)</f>
        <v/>
      </c>
      <c r="AX151" s="392">
        <f>IF(ISBLANK(Actuals!AY64),IF(46&lt;=Assumptions!$B$68,Assumptions!$B$67,0),Actuals!AY64)</f>
        <v/>
      </c>
      <c r="AY151" s="392">
        <f>IF(ISBLANK(Actuals!AZ64),IF(47&lt;=Assumptions!$B$68,Assumptions!$B$67,0),Actuals!AZ64)</f>
        <v/>
      </c>
      <c r="AZ151" s="392">
        <f>IF(ISBLANK(Actuals!BA64),IF(48&lt;=Assumptions!$B$68,Assumptions!$B$67,0),Actuals!BA64)</f>
        <v/>
      </c>
      <c r="BA151" s="392">
        <f>IF(ISBLANK(Actuals!BB64),IF(49&lt;=Assumptions!$B$68,Assumptions!$B$67,0),Actuals!BB64)</f>
        <v/>
      </c>
      <c r="BB151" s="392">
        <f>IF(ISBLANK(Actuals!BC64),IF(50&lt;=Assumptions!$B$68,Assumptions!$B$67,0),Actuals!BC64)</f>
        <v/>
      </c>
      <c r="BC151" s="392">
        <f>IF(ISBLANK(Actuals!BD64),IF(51&lt;=Assumptions!$B$68,Assumptions!$B$67,0),Actuals!BD64)</f>
        <v/>
      </c>
      <c r="BD151" s="392">
        <f>IF(ISBLANK(Actuals!BE64),IF(52&lt;=Assumptions!$B$68,Assumptions!$B$67,0),Actuals!BE64)</f>
        <v/>
      </c>
      <c r="BE151" s="392">
        <f>IF(ISBLANK(Actuals!BF64),IF(53&lt;=Assumptions!$B$68,Assumptions!$B$67,0),Actuals!BF64)</f>
        <v/>
      </c>
      <c r="BF151" s="392">
        <f>IF(ISBLANK(Actuals!BG64),IF(54&lt;=Assumptions!$B$68,Assumptions!$B$67,0),Actuals!BG64)</f>
        <v/>
      </c>
      <c r="BG151" s="392">
        <f>IF(ISBLANK(Actuals!BH64),IF(55&lt;=Assumptions!$B$68,Assumptions!$B$67,0),Actuals!BH64)</f>
        <v/>
      </c>
      <c r="BH151" s="392">
        <f>IF(ISBLANK(Actuals!BI64),IF(56&lt;=Assumptions!$B$68,Assumptions!$B$67,0),Actuals!BI64)</f>
        <v/>
      </c>
      <c r="BI151" s="392">
        <f>IF(ISBLANK(Actuals!BJ64),IF(57&lt;=Assumptions!$B$68,Assumptions!$B$67,0),Actuals!BJ64)</f>
        <v/>
      </c>
      <c r="BJ151" s="392">
        <f>IF(ISBLANK(Actuals!BK64),IF(58&lt;=Assumptions!$B$68,Assumptions!$B$67,0),Actuals!BK64)</f>
        <v/>
      </c>
      <c r="BK151" s="392">
        <f>IF(ISBLANK(Actuals!BL64),IF(59&lt;=Assumptions!$B$68,Assumptions!$B$67,0),Actuals!BL64)</f>
        <v/>
      </c>
      <c r="BL151" s="392">
        <f>IF(ISBLANK(Actuals!BM64),IF(60&lt;=Assumptions!$B$68,Assumptions!$B$67,0),Actuals!BM64)</f>
        <v/>
      </c>
      <c r="BM151" s="392">
        <f>IF(ISBLANK(Actuals!BN64),IF(61&lt;=Assumptions!$B$68,Assumptions!$B$67,0),Actuals!BN64)</f>
        <v/>
      </c>
      <c r="BN151" s="392">
        <f>IF(ISBLANK(Actuals!BO64),IF(62&lt;=Assumptions!$B$68,Assumptions!$B$67,0),Actuals!BO64)</f>
        <v/>
      </c>
      <c r="BO151" s="392">
        <f>IF(ISBLANK(Actuals!BP64),IF(63&lt;=Assumptions!$B$68,Assumptions!$B$67,0),Actuals!BP64)</f>
        <v/>
      </c>
      <c r="BP151" s="392">
        <f>IF(ISBLANK(Actuals!BQ64),IF(64&lt;=Assumptions!$B$68,Assumptions!$B$67,0),Actuals!BQ64)</f>
        <v/>
      </c>
      <c r="BQ151" s="392">
        <f>IF(ISBLANK(Actuals!BR64),IF(65&lt;=Assumptions!$B$68,Assumptions!$B$67,0),Actuals!BR64)</f>
        <v/>
      </c>
      <c r="BR151" s="392">
        <f>IF(ISBLANK(Actuals!BS64),IF(66&lt;=Assumptions!$B$68,Assumptions!$B$67,0),Actuals!BS64)</f>
        <v/>
      </c>
      <c r="BS151" s="392">
        <f>IF(ISBLANK(Actuals!BT64),IF(67&lt;=Assumptions!$B$68,Assumptions!$B$67,0),Actuals!BT64)</f>
        <v/>
      </c>
      <c r="BT151" s="392">
        <f>IF(ISBLANK(Actuals!BU64),IF(68&lt;=Assumptions!$B$68,Assumptions!$B$67,0),Actuals!BU64)</f>
        <v/>
      </c>
      <c r="BU151" s="392">
        <f>IF(ISBLANK(Actuals!BV64),IF(69&lt;=Assumptions!$B$68,Assumptions!$B$67,0),Actuals!BV64)</f>
        <v/>
      </c>
      <c r="BV151" s="392">
        <f>IF(ISBLANK(Actuals!BW64),IF(70&lt;=Assumptions!$B$68,Assumptions!$B$67,0),Actuals!BW64)</f>
        <v/>
      </c>
      <c r="BW151" s="392">
        <f>IF(ISBLANK(Actuals!BX64),IF(71&lt;=Assumptions!$B$68,Assumptions!$B$67,0),Actuals!BX64)</f>
        <v/>
      </c>
      <c r="BX151" s="392">
        <f>IF(ISBLANK(Actuals!BY64),IF(72&lt;=Assumptions!$B$68,Assumptions!$B$67,0),Actuals!BY64)</f>
        <v/>
      </c>
      <c r="BY151" s="392">
        <f>IF(ISBLANK(Actuals!BZ64),IF(73&lt;=Assumptions!$B$68,Assumptions!$B$67,0),Actuals!BZ64)</f>
        <v/>
      </c>
      <c r="BZ151" s="392">
        <f>IF(ISBLANK(Actuals!CA64),IF(74&lt;=Assumptions!$B$68,Assumptions!$B$67,0),Actuals!CA64)</f>
        <v/>
      </c>
      <c r="CA151" s="392">
        <f>IF(ISBLANK(Actuals!CB64),IF(75&lt;=Assumptions!$B$68,Assumptions!$B$67,0),Actuals!CB64)</f>
        <v/>
      </c>
      <c r="CB151" s="392">
        <f>IF(ISBLANK(Actuals!CC64),IF(76&lt;=Assumptions!$B$68,Assumptions!$B$67,0),Actuals!CC64)</f>
        <v/>
      </c>
      <c r="CC151" s="392">
        <f>IF(ISBLANK(Actuals!CD64),IF(77&lt;=Assumptions!$B$68,Assumptions!$B$67,0),Actuals!CD64)</f>
        <v/>
      </c>
      <c r="CD151" s="392">
        <f>IF(ISBLANK(Actuals!CE64),IF(78&lt;=Assumptions!$B$68,Assumptions!$B$67,0),Actuals!CE64)</f>
        <v/>
      </c>
      <c r="CE151" s="392">
        <f>IF(ISBLANK(Actuals!CF64),IF(79&lt;=Assumptions!$B$68,Assumptions!$B$67,0),Actuals!CF64)</f>
        <v/>
      </c>
      <c r="CF151" s="392">
        <f>IF(ISBLANK(Actuals!CG64),IF(80&lt;=Assumptions!$B$68,Assumptions!$B$67,0),Actuals!CG64)</f>
        <v/>
      </c>
      <c r="CG151" s="392">
        <f>IF(ISBLANK(Actuals!CH64),IF(81&lt;=Assumptions!$B$68,Assumptions!$B$67,0),Actuals!CH64)</f>
        <v/>
      </c>
      <c r="CH151" s="392">
        <f>IF(ISBLANK(Actuals!CI64),IF(82&lt;=Assumptions!$B$68,Assumptions!$B$67,0),Actuals!CI64)</f>
        <v/>
      </c>
      <c r="CI151" s="392">
        <f>IF(ISBLANK(Actuals!CJ64),IF(83&lt;=Assumptions!$B$68,Assumptions!$B$67,0),Actuals!CJ64)</f>
        <v/>
      </c>
      <c r="CJ151" s="392">
        <f>IF(ISBLANK(Actuals!CK64),IF(84&lt;=Assumptions!$B$68,Assumptions!$B$67,0),Actuals!CK64)</f>
        <v/>
      </c>
      <c r="CK151" s="392">
        <f>IF(ISBLANK(Actuals!CL64),IF(85&lt;=Assumptions!$B$68,Assumptions!$B$67,0),Actuals!CL64)</f>
        <v/>
      </c>
      <c r="CL151" s="392">
        <f>IF(ISBLANK(Actuals!CM64),IF(86&lt;=Assumptions!$B$68,Assumptions!$B$67,0),Actuals!CM64)</f>
        <v/>
      </c>
      <c r="CM151" s="392">
        <f>IF(ISBLANK(Actuals!CN64),IF(87&lt;=Assumptions!$B$68,Assumptions!$B$67,0),Actuals!CN64)</f>
        <v/>
      </c>
      <c r="CN151" s="392">
        <f>IF(ISBLANK(Actuals!CO64),IF(88&lt;=Assumptions!$B$68,Assumptions!$B$67,0),Actuals!CO64)</f>
        <v/>
      </c>
      <c r="CO151" s="392">
        <f>IF(ISBLANK(Actuals!CP64),IF(89&lt;=Assumptions!$B$68,Assumptions!$B$67,0),Actuals!CP64)</f>
        <v/>
      </c>
      <c r="CP151" s="392">
        <f>IF(ISBLANK(Actuals!CQ64),IF(90&lt;=Assumptions!$B$68,Assumptions!$B$67,0),Actuals!CQ64)</f>
        <v/>
      </c>
      <c r="CQ151" s="392">
        <f>IF(ISBLANK(Actuals!CR64),IF(91&lt;=Assumptions!$B$68,Assumptions!$B$67,0),Actuals!CR64)</f>
        <v/>
      </c>
      <c r="CR151" s="392">
        <f>IF(ISBLANK(Actuals!CS64),IF(92&lt;=Assumptions!$B$68,Assumptions!$B$67,0),Actuals!CS64)</f>
        <v/>
      </c>
      <c r="CS151" s="392">
        <f>IF(ISBLANK(Actuals!CT64),IF(93&lt;=Assumptions!$B$68,Assumptions!$B$67,0),Actuals!CT64)</f>
        <v/>
      </c>
      <c r="CT151" s="392">
        <f>IF(ISBLANK(Actuals!CU64),IF(94&lt;=Assumptions!$B$68,Assumptions!$B$67,0),Actuals!CU64)</f>
        <v/>
      </c>
      <c r="CU151" s="392">
        <f>IF(ISBLANK(Actuals!CV64),IF(95&lt;=Assumptions!$B$68,Assumptions!$B$67,0),Actuals!CV64)</f>
        <v/>
      </c>
      <c r="CV151" s="392">
        <f>IF(ISBLANK(Actuals!CW64),IF(96&lt;=Assumptions!$B$68,Assumptions!$B$67,0),Actuals!CW64)</f>
        <v/>
      </c>
      <c r="CW151" s="392">
        <f>IF(ISBLANK(Actuals!CX64),IF(97&lt;=Assumptions!$B$68,Assumptions!$B$67,0),Actuals!CX64)</f>
        <v/>
      </c>
      <c r="CX151" s="392">
        <f>IF(ISBLANK(Actuals!CY64),IF(98&lt;=Assumptions!$B$68,Assumptions!$B$67,0),Actuals!CY64)</f>
        <v/>
      </c>
      <c r="CY151" s="392">
        <f>IF(ISBLANK(Actuals!CZ64),IF(99&lt;=Assumptions!$B$68,Assumptions!$B$67,0),Actuals!CZ64)</f>
        <v/>
      </c>
      <c r="CZ151" s="392">
        <f>IF(ISBLANK(Actuals!DA64),IF(100&lt;=Assumptions!$B$68,Assumptions!$B$67,0),Actuals!DA64)</f>
        <v/>
      </c>
      <c r="DA151" s="392">
        <f>IF(ISBLANK(Actuals!DB64),IF(101&lt;=Assumptions!$B$68,Assumptions!$B$67,0),Actuals!DB64)</f>
        <v/>
      </c>
      <c r="DB151" s="392">
        <f>IF(ISBLANK(Actuals!DC64),IF(102&lt;=Assumptions!$B$68,Assumptions!$B$67,0),Actuals!DC64)</f>
        <v/>
      </c>
      <c r="DC151" s="392">
        <f>IF(ISBLANK(Actuals!DD64),IF(103&lt;=Assumptions!$B$68,Assumptions!$B$67,0),Actuals!DD64)</f>
        <v/>
      </c>
      <c r="DD151" s="392">
        <f>IF(ISBLANK(Actuals!DE64),IF(104&lt;=Assumptions!$B$68,Assumptions!$B$67,0),Actuals!DE64)</f>
        <v/>
      </c>
      <c r="DE151" s="392">
        <f>IF(ISBLANK(Actuals!DF64),IF(105&lt;=Assumptions!$B$68,Assumptions!$B$67,0),Actuals!DF64)</f>
        <v/>
      </c>
    </row>
    <row r="152" ht="15" customFormat="1" customHeight="1" s="380">
      <c r="A152" s="397" t="inlineStr">
        <is>
          <t>Ramsgate Dev Fee - Construction</t>
        </is>
      </c>
      <c r="B152" s="392">
        <f>IF(ISBLANK(Actuals!C65),0,Actuals!C65)</f>
        <v/>
      </c>
      <c r="C152" s="392">
        <f>IF(ISBLANK(Actuals!D65),0,Actuals!D65)</f>
        <v/>
      </c>
      <c r="D152" s="392">
        <f>IF(ISBLANK(Actuals!E65),0,Actuals!E65)</f>
        <v/>
      </c>
      <c r="E152" s="392">
        <f>IF(ISBLANK(Actuals!F65),IF(Projects!$G$3="Yes",23906.25,0),Actuals!F65)</f>
        <v/>
      </c>
      <c r="F152" s="392">
        <f>IF(ISBLANK(Actuals!G65),IF(Projects!$G$3="Yes",23906.25,0),Actuals!G65)</f>
        <v/>
      </c>
      <c r="G152" s="392">
        <f>IF(ISBLANK(Actuals!H65),IF(Projects!$G$3="Yes",23906.25,0),Actuals!H65)</f>
        <v/>
      </c>
      <c r="H152" s="392">
        <f>IF(ISBLANK(Actuals!I65),IF(Projects!$G$3="Yes",23906.25,0),Actuals!I65)</f>
        <v/>
      </c>
      <c r="I152" s="392">
        <f>IF(ISBLANK(Actuals!J65),IF(Projects!$G$3="Yes",23906.25,0),Actuals!J65)</f>
        <v/>
      </c>
      <c r="J152" s="392">
        <f>IF(ISBLANK(Actuals!K65),IF(Projects!$G$3="Yes",23906.25,0),Actuals!K65)</f>
        <v/>
      </c>
      <c r="K152" s="392">
        <f>IF(ISBLANK(Actuals!L65),IF(Projects!$G$3="Yes",23906.25,0),Actuals!L65)</f>
        <v/>
      </c>
      <c r="L152" s="392">
        <f>IF(ISBLANK(Actuals!M65),IF(Projects!$G$3="Yes",23906.25,0),Actuals!M65)</f>
        <v/>
      </c>
      <c r="M152" s="392">
        <f>IF(ISBLANK(Actuals!N65),IF(Projects!$G$3="Yes",23906.25,0),Actuals!N65)</f>
        <v/>
      </c>
      <c r="N152" s="392">
        <f>IF(ISBLANK(Actuals!O65),IF(Projects!$G$3="Yes",23906.25,0),Actuals!O65)</f>
        <v/>
      </c>
      <c r="O152" s="392">
        <f>IF(ISBLANK(Actuals!P65),IF(Projects!$G$3="Yes",23906.25,0),Actuals!P65)</f>
        <v/>
      </c>
      <c r="P152" s="392">
        <f>IF(ISBLANK(Actuals!Q65),IF(Projects!$G$3="Yes",23906.25,0),Actuals!Q65)</f>
        <v/>
      </c>
      <c r="Q152" s="392">
        <f>IF(ISBLANK(Actuals!R65),IF(Projects!$G$3="Yes",23906.25,0),Actuals!R65)</f>
        <v/>
      </c>
      <c r="R152" s="392">
        <f>IF(ISBLANK(Actuals!S65),IF(Projects!$G$3="Yes",23906.25,0),Actuals!S65)</f>
        <v/>
      </c>
      <c r="S152" s="392">
        <f>IF(ISBLANK(Actuals!T65),IF(Projects!$G$3="Yes",23906.25,0),Actuals!T65)</f>
        <v/>
      </c>
      <c r="T152" s="392">
        <f>IF(ISBLANK(Actuals!U65),0,Actuals!U65)</f>
        <v/>
      </c>
      <c r="U152" s="392">
        <f>IF(ISBLANK(Actuals!V65),0,Actuals!V65)</f>
        <v/>
      </c>
      <c r="V152" s="392">
        <f>IF(ISBLANK(Actuals!W65),0,Actuals!W65)</f>
        <v/>
      </c>
      <c r="W152" s="392">
        <f>IF(ISBLANK(Actuals!X65),0,Actuals!X65)</f>
        <v/>
      </c>
      <c r="X152" s="392">
        <f>IF(ISBLANK(Actuals!Y65),0,Actuals!Y65)</f>
        <v/>
      </c>
      <c r="Y152" s="392">
        <f>IF(ISBLANK(Actuals!Z65),0,Actuals!Z65)</f>
        <v/>
      </c>
      <c r="Z152" s="392">
        <f>IF(ISBLANK(Actuals!AA65),0,Actuals!AA65)</f>
        <v/>
      </c>
      <c r="AA152" s="392">
        <f>IF(ISBLANK(Actuals!AB65),0,Actuals!AB65)</f>
        <v/>
      </c>
      <c r="AB152" s="392">
        <f>IF(ISBLANK(Actuals!AC65),0,Actuals!AC65)</f>
        <v/>
      </c>
      <c r="AC152" s="392">
        <f>IF(ISBLANK(Actuals!AD65),0,Actuals!AD65)</f>
        <v/>
      </c>
      <c r="AD152" s="392">
        <f>IF(ISBLANK(Actuals!AE65),0,Actuals!AE65)</f>
        <v/>
      </c>
      <c r="AE152" s="392">
        <f>IF(ISBLANK(Actuals!AF65),0,Actuals!AF65)</f>
        <v/>
      </c>
      <c r="AF152" s="392">
        <f>IF(ISBLANK(Actuals!AG65),0,Actuals!AG65)</f>
        <v/>
      </c>
      <c r="AG152" s="392">
        <f>IF(ISBLANK(Actuals!AH65),0,Actuals!AH65)</f>
        <v/>
      </c>
      <c r="AH152" s="392">
        <f>IF(ISBLANK(Actuals!AI65),0,Actuals!AI65)</f>
        <v/>
      </c>
      <c r="AI152" s="392">
        <f>IF(ISBLANK(Actuals!AJ65),0,Actuals!AJ65)</f>
        <v/>
      </c>
      <c r="AJ152" s="392">
        <f>IF(ISBLANK(Actuals!AK65),0,Actuals!AK65)</f>
        <v/>
      </c>
      <c r="AK152" s="392">
        <f>IF(ISBLANK(Actuals!AL65),0,Actuals!AL65)</f>
        <v/>
      </c>
      <c r="AL152" s="392">
        <f>IF(ISBLANK(Actuals!AM65),0,Actuals!AM65)</f>
        <v/>
      </c>
      <c r="AM152" s="392">
        <f>IF(ISBLANK(Actuals!AN65),0,Actuals!AN65)</f>
        <v/>
      </c>
      <c r="AN152" s="392">
        <f>IF(ISBLANK(Actuals!AO65),0,Actuals!AO65)</f>
        <v/>
      </c>
      <c r="AO152" s="392">
        <f>IF(ISBLANK(Actuals!AP65),0,Actuals!AP65)</f>
        <v/>
      </c>
      <c r="AP152" s="392">
        <f>IF(ISBLANK(Actuals!AQ65),0,Actuals!AQ65)</f>
        <v/>
      </c>
      <c r="AQ152" s="392">
        <f>IF(ISBLANK(Actuals!AR65),0,Actuals!AR65)</f>
        <v/>
      </c>
      <c r="AR152" s="392">
        <f>IF(ISBLANK(Actuals!AS65),0,Actuals!AS65)</f>
        <v/>
      </c>
      <c r="AS152" s="392">
        <f>IF(ISBLANK(Actuals!AT65),0,Actuals!AT65)</f>
        <v/>
      </c>
      <c r="AT152" s="392">
        <f>IF(ISBLANK(Actuals!AU65),0,Actuals!AU65)</f>
        <v/>
      </c>
      <c r="AU152" s="392">
        <f>IF(ISBLANK(Actuals!AV65),0,Actuals!AV65)</f>
        <v/>
      </c>
      <c r="AV152" s="392">
        <f>IF(ISBLANK(Actuals!AW65),0,Actuals!AW65)</f>
        <v/>
      </c>
      <c r="AW152" s="392">
        <f>IF(ISBLANK(Actuals!AX65),0,Actuals!AX65)</f>
        <v/>
      </c>
      <c r="AX152" s="392">
        <f>IF(ISBLANK(Actuals!AY65),0,Actuals!AY65)</f>
        <v/>
      </c>
      <c r="AY152" s="392">
        <f>IF(ISBLANK(Actuals!AZ65),0,Actuals!AZ65)</f>
        <v/>
      </c>
      <c r="AZ152" s="392">
        <f>IF(ISBLANK(Actuals!BA65),0,Actuals!BA65)</f>
        <v/>
      </c>
      <c r="BA152" s="392">
        <f>IF(ISBLANK(Actuals!BB65),0,Actuals!BB65)</f>
        <v/>
      </c>
      <c r="BB152" s="392">
        <f>IF(ISBLANK(Actuals!BC65),0,Actuals!BC65)</f>
        <v/>
      </c>
      <c r="BC152" s="392">
        <f>IF(ISBLANK(Actuals!BD65),0,Actuals!BD65)</f>
        <v/>
      </c>
      <c r="BD152" s="392">
        <f>IF(ISBLANK(Actuals!BE65),0,Actuals!BE65)</f>
        <v/>
      </c>
      <c r="BE152" s="392">
        <f>IF(ISBLANK(Actuals!BF65),0,Actuals!BF65)</f>
        <v/>
      </c>
      <c r="BF152" s="392">
        <f>IF(ISBLANK(Actuals!BG65),0,Actuals!BG65)</f>
        <v/>
      </c>
      <c r="BG152" s="392">
        <f>IF(ISBLANK(Actuals!BH65),0,Actuals!BH65)</f>
        <v/>
      </c>
      <c r="BH152" s="392">
        <f>IF(ISBLANK(Actuals!BI65),0,Actuals!BI65)</f>
        <v/>
      </c>
      <c r="BI152" s="392">
        <f>IF(ISBLANK(Actuals!BJ65),0,Actuals!BJ65)</f>
        <v/>
      </c>
      <c r="BJ152" s="392">
        <f>IF(ISBLANK(Actuals!BK65),0,Actuals!BK65)</f>
        <v/>
      </c>
      <c r="BK152" s="392">
        <f>IF(ISBLANK(Actuals!BL65),0,Actuals!BL65)</f>
        <v/>
      </c>
      <c r="BL152" s="392">
        <f>IF(ISBLANK(Actuals!BM65),0,Actuals!BM65)</f>
        <v/>
      </c>
      <c r="BM152" s="392">
        <f>IF(ISBLANK(Actuals!BN65),0,Actuals!BN65)</f>
        <v/>
      </c>
      <c r="BN152" s="392">
        <f>IF(ISBLANK(Actuals!BO65),0,Actuals!BO65)</f>
        <v/>
      </c>
      <c r="BO152" s="392">
        <f>IF(ISBLANK(Actuals!BP65),0,Actuals!BP65)</f>
        <v/>
      </c>
      <c r="BP152" s="392">
        <f>IF(ISBLANK(Actuals!BQ65),0,Actuals!BQ65)</f>
        <v/>
      </c>
      <c r="BQ152" s="392">
        <f>IF(ISBLANK(Actuals!BR65),0,Actuals!BR65)</f>
        <v/>
      </c>
      <c r="BR152" s="392">
        <f>IF(ISBLANK(Actuals!BS65),0,Actuals!BS65)</f>
        <v/>
      </c>
      <c r="BS152" s="392">
        <f>IF(ISBLANK(Actuals!BT65),0,Actuals!BT65)</f>
        <v/>
      </c>
      <c r="BT152" s="392">
        <f>IF(ISBLANK(Actuals!BU65),0,Actuals!BU65)</f>
        <v/>
      </c>
      <c r="BU152" s="392">
        <f>IF(ISBLANK(Actuals!BV65),0,Actuals!BV65)</f>
        <v/>
      </c>
      <c r="BV152" s="392">
        <f>IF(ISBLANK(Actuals!BW65),0,Actuals!BW65)</f>
        <v/>
      </c>
      <c r="BW152" s="392">
        <f>IF(ISBLANK(Actuals!BX65),0,Actuals!BX65)</f>
        <v/>
      </c>
      <c r="BX152" s="392">
        <f>IF(ISBLANK(Actuals!BY65),0,Actuals!BY65)</f>
        <v/>
      </c>
      <c r="BY152" s="392">
        <f>IF(ISBLANK(Actuals!BZ65),0,Actuals!BZ65)</f>
        <v/>
      </c>
      <c r="BZ152" s="392">
        <f>IF(ISBLANK(Actuals!CA65),0,Actuals!CA65)</f>
        <v/>
      </c>
      <c r="CA152" s="392">
        <f>IF(ISBLANK(Actuals!CB65),0,Actuals!CB65)</f>
        <v/>
      </c>
      <c r="CB152" s="392">
        <f>IF(ISBLANK(Actuals!CC65),0,Actuals!CC65)</f>
        <v/>
      </c>
      <c r="CC152" s="392">
        <f>IF(ISBLANK(Actuals!CD65),0,Actuals!CD65)</f>
        <v/>
      </c>
      <c r="CD152" s="392">
        <f>IF(ISBLANK(Actuals!CE65),0,Actuals!CE65)</f>
        <v/>
      </c>
      <c r="CE152" s="392">
        <f>IF(ISBLANK(Actuals!CF65),0,Actuals!CF65)</f>
        <v/>
      </c>
      <c r="CF152" s="392">
        <f>IF(ISBLANK(Actuals!CG65),0,Actuals!CG65)</f>
        <v/>
      </c>
      <c r="CG152" s="392">
        <f>IF(ISBLANK(Actuals!CH65),0,Actuals!CH65)</f>
        <v/>
      </c>
      <c r="CH152" s="392">
        <f>IF(ISBLANK(Actuals!CI65),0,Actuals!CI65)</f>
        <v/>
      </c>
      <c r="CI152" s="392">
        <f>IF(ISBLANK(Actuals!CJ65),0,Actuals!CJ65)</f>
        <v/>
      </c>
      <c r="CJ152" s="392">
        <f>IF(ISBLANK(Actuals!CK65),0,Actuals!CK65)</f>
        <v/>
      </c>
      <c r="CK152" s="392">
        <f>IF(ISBLANK(Actuals!CL65),0,Actuals!CL65)</f>
        <v/>
      </c>
      <c r="CL152" s="392">
        <f>IF(ISBLANK(Actuals!CM65),0,Actuals!CM65)</f>
        <v/>
      </c>
      <c r="CM152" s="392">
        <f>IF(ISBLANK(Actuals!CN65),0,Actuals!CN65)</f>
        <v/>
      </c>
      <c r="CN152" s="392">
        <f>IF(ISBLANK(Actuals!CO65),0,Actuals!CO65)</f>
        <v/>
      </c>
      <c r="CO152" s="392">
        <f>IF(ISBLANK(Actuals!CP65),0,Actuals!CP65)</f>
        <v/>
      </c>
      <c r="CP152" s="392">
        <f>IF(ISBLANK(Actuals!CQ65),0,Actuals!CQ65)</f>
        <v/>
      </c>
      <c r="CQ152" s="392">
        <f>IF(ISBLANK(Actuals!CR65),0,Actuals!CR65)</f>
        <v/>
      </c>
      <c r="CR152" s="392">
        <f>IF(ISBLANK(Actuals!CS65),0,Actuals!CS65)</f>
        <v/>
      </c>
      <c r="CS152" s="392">
        <f>IF(ISBLANK(Actuals!CT65),0,Actuals!CT65)</f>
        <v/>
      </c>
      <c r="CT152" s="392">
        <f>IF(ISBLANK(Actuals!CU65),0,Actuals!CU65)</f>
        <v/>
      </c>
      <c r="CU152" s="392">
        <f>IF(ISBLANK(Actuals!CV65),0,Actuals!CV65)</f>
        <v/>
      </c>
      <c r="CV152" s="392">
        <f>IF(ISBLANK(Actuals!CW65),0,Actuals!CW65)</f>
        <v/>
      </c>
      <c r="CW152" s="392">
        <f>IF(ISBLANK(Actuals!CX65),0,Actuals!CX65)</f>
        <v/>
      </c>
      <c r="CX152" s="392">
        <f>IF(ISBLANK(Actuals!CY65),0,Actuals!CY65)</f>
        <v/>
      </c>
      <c r="CY152" s="392">
        <f>IF(ISBLANK(Actuals!CZ65),0,Actuals!CZ65)</f>
        <v/>
      </c>
      <c r="CZ152" s="392">
        <f>IF(ISBLANK(Actuals!DA65),0,Actuals!DA65)</f>
        <v/>
      </c>
      <c r="DA152" s="392">
        <f>IF(ISBLANK(Actuals!DB65),0,Actuals!DB65)</f>
        <v/>
      </c>
      <c r="DB152" s="392">
        <f>IF(ISBLANK(Actuals!DC65),0,Actuals!DC65)</f>
        <v/>
      </c>
      <c r="DC152" s="392">
        <f>IF(ISBLANK(Actuals!DD65),0,Actuals!DD65)</f>
        <v/>
      </c>
      <c r="DD152" s="392">
        <f>IF(ISBLANK(Actuals!DE65),0,Actuals!DE65)</f>
        <v/>
      </c>
      <c r="DE152" s="392">
        <f>IF(ISBLANK(Actuals!DF65),0,Actuals!DF65)</f>
        <v/>
      </c>
    </row>
    <row r="153" ht="15" customFormat="1" customHeight="1" s="380">
      <c r="A153" s="397" t="inlineStr">
        <is>
          <t>Ramsgate Dev Fee - 20% Occ</t>
        </is>
      </c>
      <c r="B153" s="392">
        <f>IF(ISBLANK(Actuals!C66),0,Actuals!C66)</f>
        <v/>
      </c>
      <c r="C153" s="392">
        <f>IF(ISBLANK(Actuals!D66),0,Actuals!D66)</f>
        <v/>
      </c>
      <c r="D153" s="392">
        <f>IF(ISBLANK(Actuals!E66),0,Actuals!E66)</f>
        <v/>
      </c>
      <c r="E153" s="392">
        <f>IF(ISBLANK(Actuals!F66),0,Actuals!F66)</f>
        <v/>
      </c>
      <c r="F153" s="392">
        <f>IF(ISBLANK(Actuals!G66),0,Actuals!G66)</f>
        <v/>
      </c>
      <c r="G153" s="392">
        <f>IF(ISBLANK(Actuals!H66),0,Actuals!H66)</f>
        <v/>
      </c>
      <c r="H153" s="392">
        <f>IF(ISBLANK(Actuals!I66),0,Actuals!I66)</f>
        <v/>
      </c>
      <c r="I153" s="392">
        <f>IF(ISBLANK(Actuals!J66),0,Actuals!J66)</f>
        <v/>
      </c>
      <c r="J153" s="392">
        <f>IF(ISBLANK(Actuals!K66),0,Actuals!K66)</f>
        <v/>
      </c>
      <c r="K153" s="392">
        <f>IF(ISBLANK(Actuals!L66),0,Actuals!L66)</f>
        <v/>
      </c>
      <c r="L153" s="392">
        <f>IF(ISBLANK(Actuals!M66),0,Actuals!M66)</f>
        <v/>
      </c>
      <c r="M153" s="392">
        <f>IF(ISBLANK(Actuals!N66),0,Actuals!N66)</f>
        <v/>
      </c>
      <c r="N153" s="392">
        <f>IF(ISBLANK(Actuals!O66),0,Actuals!O66)</f>
        <v/>
      </c>
      <c r="O153" s="392">
        <f>IF(ISBLANK(Actuals!P66),0,Actuals!P66)</f>
        <v/>
      </c>
      <c r="P153" s="392">
        <f>IF(ISBLANK(Actuals!Q66),0,Actuals!Q66)</f>
        <v/>
      </c>
      <c r="Q153" s="392">
        <f>IF(ISBLANK(Actuals!R66),0,Actuals!R66)</f>
        <v/>
      </c>
      <c r="R153" s="392">
        <f>IF(ISBLANK(Actuals!S66),0,Actuals!S66)</f>
        <v/>
      </c>
      <c r="S153" s="392">
        <f>IF(ISBLANK(Actuals!T66),0,Actuals!T66)</f>
        <v/>
      </c>
      <c r="T153" s="392">
        <f>IF(ISBLANK(Actuals!U66),0,Actuals!U66)</f>
        <v/>
      </c>
      <c r="U153" s="392">
        <f>IF(ISBLANK(Actuals!V66),0,Actuals!V66)</f>
        <v/>
      </c>
      <c r="V153" s="392">
        <f>IF(ISBLANK(Actuals!W66),0,Actuals!W66)</f>
        <v/>
      </c>
      <c r="W153" s="392">
        <f>IF(ISBLANK(Actuals!X66),0,Actuals!X66)</f>
        <v/>
      </c>
      <c r="X153" s="392">
        <f>IF(ISBLANK(Actuals!Y66),0,Actuals!Y66)</f>
        <v/>
      </c>
      <c r="Y153" s="392">
        <f>IF(ISBLANK(Actuals!Z66),IF(Projects!$G$3="Yes",57375,0),Actuals!Z66)</f>
        <v/>
      </c>
      <c r="Z153" s="392">
        <f>IF(ISBLANK(Actuals!AA66),0,Actuals!AA66)</f>
        <v/>
      </c>
      <c r="AA153" s="392">
        <f>IF(ISBLANK(Actuals!AB66),0,Actuals!AB66)</f>
        <v/>
      </c>
      <c r="AB153" s="392">
        <f>IF(ISBLANK(Actuals!AC66),0,Actuals!AC66)</f>
        <v/>
      </c>
      <c r="AC153" s="392">
        <f>IF(ISBLANK(Actuals!AD66),0,Actuals!AD66)</f>
        <v/>
      </c>
      <c r="AD153" s="392">
        <f>IF(ISBLANK(Actuals!AE66),0,Actuals!AE66)</f>
        <v/>
      </c>
      <c r="AE153" s="392">
        <f>IF(ISBLANK(Actuals!AF66),0,Actuals!AF66)</f>
        <v/>
      </c>
      <c r="AF153" s="392">
        <f>IF(ISBLANK(Actuals!AG66),0,Actuals!AG66)</f>
        <v/>
      </c>
      <c r="AG153" s="392">
        <f>IF(ISBLANK(Actuals!AH66),0,Actuals!AH66)</f>
        <v/>
      </c>
      <c r="AH153" s="392">
        <f>IF(ISBLANK(Actuals!AI66),0,Actuals!AI66)</f>
        <v/>
      </c>
      <c r="AI153" s="392">
        <f>IF(ISBLANK(Actuals!AJ66),0,Actuals!AJ66)</f>
        <v/>
      </c>
      <c r="AJ153" s="392">
        <f>IF(ISBLANK(Actuals!AK66),0,Actuals!AK66)</f>
        <v/>
      </c>
      <c r="AK153" s="392">
        <f>IF(ISBLANK(Actuals!AL66),0,Actuals!AL66)</f>
        <v/>
      </c>
      <c r="AL153" s="392">
        <f>IF(ISBLANK(Actuals!AM66),0,Actuals!AM66)</f>
        <v/>
      </c>
      <c r="AM153" s="392">
        <f>IF(ISBLANK(Actuals!AN66),0,Actuals!AN66)</f>
        <v/>
      </c>
      <c r="AN153" s="392">
        <f>IF(ISBLANK(Actuals!AO66),0,Actuals!AO66)</f>
        <v/>
      </c>
      <c r="AO153" s="392">
        <f>IF(ISBLANK(Actuals!AP66),0,Actuals!AP66)</f>
        <v/>
      </c>
      <c r="AP153" s="392">
        <f>IF(ISBLANK(Actuals!AQ66),0,Actuals!AQ66)</f>
        <v/>
      </c>
      <c r="AQ153" s="392">
        <f>IF(ISBLANK(Actuals!AR66),0,Actuals!AR66)</f>
        <v/>
      </c>
      <c r="AR153" s="392">
        <f>IF(ISBLANK(Actuals!AS66),0,Actuals!AS66)</f>
        <v/>
      </c>
      <c r="AS153" s="392">
        <f>IF(ISBLANK(Actuals!AT66),0,Actuals!AT66)</f>
        <v/>
      </c>
      <c r="AT153" s="392">
        <f>IF(ISBLANK(Actuals!AU66),0,Actuals!AU66)</f>
        <v/>
      </c>
      <c r="AU153" s="392">
        <f>IF(ISBLANK(Actuals!AV66),0,Actuals!AV66)</f>
        <v/>
      </c>
      <c r="AV153" s="392">
        <f>IF(ISBLANK(Actuals!AW66),0,Actuals!AW66)</f>
        <v/>
      </c>
      <c r="AW153" s="392">
        <f>IF(ISBLANK(Actuals!AX66),0,Actuals!AX66)</f>
        <v/>
      </c>
      <c r="AX153" s="392">
        <f>IF(ISBLANK(Actuals!AY66),0,Actuals!AY66)</f>
        <v/>
      </c>
      <c r="AY153" s="392">
        <f>IF(ISBLANK(Actuals!AZ66),0,Actuals!AZ66)</f>
        <v/>
      </c>
      <c r="AZ153" s="392">
        <f>IF(ISBLANK(Actuals!BA66),0,Actuals!BA66)</f>
        <v/>
      </c>
      <c r="BA153" s="392">
        <f>IF(ISBLANK(Actuals!BB66),0,Actuals!BB66)</f>
        <v/>
      </c>
      <c r="BB153" s="392">
        <f>IF(ISBLANK(Actuals!BC66),0,Actuals!BC66)</f>
        <v/>
      </c>
      <c r="BC153" s="392">
        <f>IF(ISBLANK(Actuals!BD66),0,Actuals!BD66)</f>
        <v/>
      </c>
      <c r="BD153" s="392">
        <f>IF(ISBLANK(Actuals!BE66),0,Actuals!BE66)</f>
        <v/>
      </c>
      <c r="BE153" s="392">
        <f>IF(ISBLANK(Actuals!BF66),0,Actuals!BF66)</f>
        <v/>
      </c>
      <c r="BF153" s="392">
        <f>IF(ISBLANK(Actuals!BG66),0,Actuals!BG66)</f>
        <v/>
      </c>
      <c r="BG153" s="392">
        <f>IF(ISBLANK(Actuals!BH66),0,Actuals!BH66)</f>
        <v/>
      </c>
      <c r="BH153" s="392">
        <f>IF(ISBLANK(Actuals!BI66),0,Actuals!BI66)</f>
        <v/>
      </c>
      <c r="BI153" s="392">
        <f>IF(ISBLANK(Actuals!BJ66),0,Actuals!BJ66)</f>
        <v/>
      </c>
      <c r="BJ153" s="392">
        <f>IF(ISBLANK(Actuals!BK66),0,Actuals!BK66)</f>
        <v/>
      </c>
      <c r="BK153" s="392">
        <f>IF(ISBLANK(Actuals!BL66),0,Actuals!BL66)</f>
        <v/>
      </c>
      <c r="BL153" s="392">
        <f>IF(ISBLANK(Actuals!BM66),0,Actuals!BM66)</f>
        <v/>
      </c>
      <c r="BM153" s="392">
        <f>IF(ISBLANK(Actuals!BN66),0,Actuals!BN66)</f>
        <v/>
      </c>
      <c r="BN153" s="392">
        <f>IF(ISBLANK(Actuals!BO66),0,Actuals!BO66)</f>
        <v/>
      </c>
      <c r="BO153" s="392">
        <f>IF(ISBLANK(Actuals!BP66),0,Actuals!BP66)</f>
        <v/>
      </c>
      <c r="BP153" s="392">
        <f>IF(ISBLANK(Actuals!BQ66),0,Actuals!BQ66)</f>
        <v/>
      </c>
      <c r="BQ153" s="392">
        <f>IF(ISBLANK(Actuals!BR66),0,Actuals!BR66)</f>
        <v/>
      </c>
      <c r="BR153" s="392">
        <f>IF(ISBLANK(Actuals!BS66),0,Actuals!BS66)</f>
        <v/>
      </c>
      <c r="BS153" s="392">
        <f>IF(ISBLANK(Actuals!BT66),0,Actuals!BT66)</f>
        <v/>
      </c>
      <c r="BT153" s="392">
        <f>IF(ISBLANK(Actuals!BU66),0,Actuals!BU66)</f>
        <v/>
      </c>
      <c r="BU153" s="392">
        <f>IF(ISBLANK(Actuals!BV66),0,Actuals!BV66)</f>
        <v/>
      </c>
      <c r="BV153" s="392">
        <f>IF(ISBLANK(Actuals!BW66),0,Actuals!BW66)</f>
        <v/>
      </c>
      <c r="BW153" s="392">
        <f>IF(ISBLANK(Actuals!BX66),0,Actuals!BX66)</f>
        <v/>
      </c>
      <c r="BX153" s="392">
        <f>IF(ISBLANK(Actuals!BY66),0,Actuals!BY66)</f>
        <v/>
      </c>
      <c r="BY153" s="392">
        <f>IF(ISBLANK(Actuals!BZ66),0,Actuals!BZ66)</f>
        <v/>
      </c>
      <c r="BZ153" s="392">
        <f>IF(ISBLANK(Actuals!CA66),0,Actuals!CA66)</f>
        <v/>
      </c>
      <c r="CA153" s="392">
        <f>IF(ISBLANK(Actuals!CB66),0,Actuals!CB66)</f>
        <v/>
      </c>
      <c r="CB153" s="392">
        <f>IF(ISBLANK(Actuals!CC66),0,Actuals!CC66)</f>
        <v/>
      </c>
      <c r="CC153" s="392">
        <f>IF(ISBLANK(Actuals!CD66),0,Actuals!CD66)</f>
        <v/>
      </c>
      <c r="CD153" s="392">
        <f>IF(ISBLANK(Actuals!CE66),0,Actuals!CE66)</f>
        <v/>
      </c>
      <c r="CE153" s="392">
        <f>IF(ISBLANK(Actuals!CF66),0,Actuals!CF66)</f>
        <v/>
      </c>
      <c r="CF153" s="392">
        <f>IF(ISBLANK(Actuals!CG66),0,Actuals!CG66)</f>
        <v/>
      </c>
      <c r="CG153" s="392">
        <f>IF(ISBLANK(Actuals!CH66),0,Actuals!CH66)</f>
        <v/>
      </c>
      <c r="CH153" s="392">
        <f>IF(ISBLANK(Actuals!CI66),0,Actuals!CI66)</f>
        <v/>
      </c>
      <c r="CI153" s="392">
        <f>IF(ISBLANK(Actuals!CJ66),0,Actuals!CJ66)</f>
        <v/>
      </c>
      <c r="CJ153" s="392">
        <f>IF(ISBLANK(Actuals!CK66),0,Actuals!CK66)</f>
        <v/>
      </c>
      <c r="CK153" s="392">
        <f>IF(ISBLANK(Actuals!CL66),0,Actuals!CL66)</f>
        <v/>
      </c>
      <c r="CL153" s="392">
        <f>IF(ISBLANK(Actuals!CM66),0,Actuals!CM66)</f>
        <v/>
      </c>
      <c r="CM153" s="392">
        <f>IF(ISBLANK(Actuals!CN66),0,Actuals!CN66)</f>
        <v/>
      </c>
      <c r="CN153" s="392">
        <f>IF(ISBLANK(Actuals!CO66),0,Actuals!CO66)</f>
        <v/>
      </c>
      <c r="CO153" s="392">
        <f>IF(ISBLANK(Actuals!CP66),0,Actuals!CP66)</f>
        <v/>
      </c>
      <c r="CP153" s="392">
        <f>IF(ISBLANK(Actuals!CQ66),0,Actuals!CQ66)</f>
        <v/>
      </c>
      <c r="CQ153" s="392">
        <f>IF(ISBLANK(Actuals!CR66),0,Actuals!CR66)</f>
        <v/>
      </c>
      <c r="CR153" s="392">
        <f>IF(ISBLANK(Actuals!CS66),0,Actuals!CS66)</f>
        <v/>
      </c>
      <c r="CS153" s="392">
        <f>IF(ISBLANK(Actuals!CT66),0,Actuals!CT66)</f>
        <v/>
      </c>
      <c r="CT153" s="392">
        <f>IF(ISBLANK(Actuals!CU66),0,Actuals!CU66)</f>
        <v/>
      </c>
      <c r="CU153" s="392">
        <f>IF(ISBLANK(Actuals!CV66),0,Actuals!CV66)</f>
        <v/>
      </c>
      <c r="CV153" s="392">
        <f>IF(ISBLANK(Actuals!CW66),0,Actuals!CW66)</f>
        <v/>
      </c>
      <c r="CW153" s="392">
        <f>IF(ISBLANK(Actuals!CX66),0,Actuals!CX66)</f>
        <v/>
      </c>
      <c r="CX153" s="392">
        <f>IF(ISBLANK(Actuals!CY66),0,Actuals!CY66)</f>
        <v/>
      </c>
      <c r="CY153" s="392">
        <f>IF(ISBLANK(Actuals!CZ66),0,Actuals!CZ66)</f>
        <v/>
      </c>
      <c r="CZ153" s="392">
        <f>IF(ISBLANK(Actuals!DA66),0,Actuals!DA66)</f>
        <v/>
      </c>
      <c r="DA153" s="392">
        <f>IF(ISBLANK(Actuals!DB66),0,Actuals!DB66)</f>
        <v/>
      </c>
      <c r="DB153" s="392">
        <f>IF(ISBLANK(Actuals!DC66),0,Actuals!DC66)</f>
        <v/>
      </c>
      <c r="DC153" s="392">
        <f>IF(ISBLANK(Actuals!DD66),0,Actuals!DD66)</f>
        <v/>
      </c>
      <c r="DD153" s="392">
        <f>IF(ISBLANK(Actuals!DE66),0,Actuals!DE66)</f>
        <v/>
      </c>
      <c r="DE153" s="392">
        <f>IF(ISBLANK(Actuals!DF66),0,Actuals!DF66)</f>
        <v/>
      </c>
    </row>
    <row r="154" ht="15" customFormat="1" customHeight="1" s="380">
      <c r="A154" s="397" t="inlineStr">
        <is>
          <t>Ramsgate Dev Fee - 50% Occ</t>
        </is>
      </c>
      <c r="B154" s="392">
        <f>IF(ISBLANK(Actuals!C67),0,Actuals!C67)</f>
        <v/>
      </c>
      <c r="C154" s="392">
        <f>IF(ISBLANK(Actuals!D67),0,Actuals!D67)</f>
        <v/>
      </c>
      <c r="D154" s="392">
        <f>IF(ISBLANK(Actuals!E67),0,Actuals!E67)</f>
        <v/>
      </c>
      <c r="E154" s="392">
        <f>IF(ISBLANK(Actuals!F67),0,Actuals!F67)</f>
        <v/>
      </c>
      <c r="F154" s="392">
        <f>IF(ISBLANK(Actuals!G67),0,Actuals!G67)</f>
        <v/>
      </c>
      <c r="G154" s="392">
        <f>IF(ISBLANK(Actuals!H67),0,Actuals!H67)</f>
        <v/>
      </c>
      <c r="H154" s="392">
        <f>IF(ISBLANK(Actuals!I67),0,Actuals!I67)</f>
        <v/>
      </c>
      <c r="I154" s="392">
        <f>IF(ISBLANK(Actuals!J67),0,Actuals!J67)</f>
        <v/>
      </c>
      <c r="J154" s="392">
        <f>IF(ISBLANK(Actuals!K67),0,Actuals!K67)</f>
        <v/>
      </c>
      <c r="K154" s="392">
        <f>IF(ISBLANK(Actuals!L67),0,Actuals!L67)</f>
        <v/>
      </c>
      <c r="L154" s="392">
        <f>IF(ISBLANK(Actuals!M67),0,Actuals!M67)</f>
        <v/>
      </c>
      <c r="M154" s="392">
        <f>IF(ISBLANK(Actuals!N67),0,Actuals!N67)</f>
        <v/>
      </c>
      <c r="N154" s="392">
        <f>IF(ISBLANK(Actuals!O67),0,Actuals!O67)</f>
        <v/>
      </c>
      <c r="O154" s="392">
        <f>IF(ISBLANK(Actuals!P67),0,Actuals!P67)</f>
        <v/>
      </c>
      <c r="P154" s="392">
        <f>IF(ISBLANK(Actuals!Q67),0,Actuals!Q67)</f>
        <v/>
      </c>
      <c r="Q154" s="392">
        <f>IF(ISBLANK(Actuals!R67),0,Actuals!R67)</f>
        <v/>
      </c>
      <c r="R154" s="392">
        <f>IF(ISBLANK(Actuals!S67),0,Actuals!S67)</f>
        <v/>
      </c>
      <c r="S154" s="392">
        <f>IF(ISBLANK(Actuals!T67),0,Actuals!T67)</f>
        <v/>
      </c>
      <c r="T154" s="392">
        <f>IF(ISBLANK(Actuals!U67),0,Actuals!U67)</f>
        <v/>
      </c>
      <c r="U154" s="392">
        <f>IF(ISBLANK(Actuals!V67),0,Actuals!V67)</f>
        <v/>
      </c>
      <c r="V154" s="392">
        <f>IF(ISBLANK(Actuals!W67),0,Actuals!W67)</f>
        <v/>
      </c>
      <c r="W154" s="392">
        <f>IF(ISBLANK(Actuals!X67),0,Actuals!X67)</f>
        <v/>
      </c>
      <c r="X154" s="392">
        <f>IF(ISBLANK(Actuals!Y67),0,Actuals!Y67)</f>
        <v/>
      </c>
      <c r="Y154" s="392">
        <f>IF(ISBLANK(Actuals!Z67),0,Actuals!Z67)</f>
        <v/>
      </c>
      <c r="Z154" s="392">
        <f>IF(ISBLANK(Actuals!AA67),0,Actuals!AA67)</f>
        <v/>
      </c>
      <c r="AA154" s="392">
        <f>IF(ISBLANK(Actuals!AB67),0,Actuals!AB67)</f>
        <v/>
      </c>
      <c r="AB154" s="392">
        <f>IF(ISBLANK(Actuals!AC67),IF(Projects!$G$3="Yes",57375,0),Actuals!AC67)</f>
        <v/>
      </c>
      <c r="AC154" s="392">
        <f>IF(ISBLANK(Actuals!AD67),0,Actuals!AD67)</f>
        <v/>
      </c>
      <c r="AD154" s="392">
        <f>IF(ISBLANK(Actuals!AE67),0,Actuals!AE67)</f>
        <v/>
      </c>
      <c r="AE154" s="392">
        <f>IF(ISBLANK(Actuals!AF67),0,Actuals!AF67)</f>
        <v/>
      </c>
      <c r="AF154" s="392">
        <f>IF(ISBLANK(Actuals!AG67),0,Actuals!AG67)</f>
        <v/>
      </c>
      <c r="AG154" s="392">
        <f>IF(ISBLANK(Actuals!AH67),0,Actuals!AH67)</f>
        <v/>
      </c>
      <c r="AH154" s="392">
        <f>IF(ISBLANK(Actuals!AI67),0,Actuals!AI67)</f>
        <v/>
      </c>
      <c r="AI154" s="392">
        <f>IF(ISBLANK(Actuals!AJ67),0,Actuals!AJ67)</f>
        <v/>
      </c>
      <c r="AJ154" s="392">
        <f>IF(ISBLANK(Actuals!AK67),0,Actuals!AK67)</f>
        <v/>
      </c>
      <c r="AK154" s="392">
        <f>IF(ISBLANK(Actuals!AL67),0,Actuals!AL67)</f>
        <v/>
      </c>
      <c r="AL154" s="392">
        <f>IF(ISBLANK(Actuals!AM67),0,Actuals!AM67)</f>
        <v/>
      </c>
      <c r="AM154" s="392">
        <f>IF(ISBLANK(Actuals!AN67),0,Actuals!AN67)</f>
        <v/>
      </c>
      <c r="AN154" s="392">
        <f>IF(ISBLANK(Actuals!AO67),0,Actuals!AO67)</f>
        <v/>
      </c>
      <c r="AO154" s="392">
        <f>IF(ISBLANK(Actuals!AP67),0,Actuals!AP67)</f>
        <v/>
      </c>
      <c r="AP154" s="392">
        <f>IF(ISBLANK(Actuals!AQ67),0,Actuals!AQ67)</f>
        <v/>
      </c>
      <c r="AQ154" s="392">
        <f>IF(ISBLANK(Actuals!AR67),0,Actuals!AR67)</f>
        <v/>
      </c>
      <c r="AR154" s="392">
        <f>IF(ISBLANK(Actuals!AS67),0,Actuals!AS67)</f>
        <v/>
      </c>
      <c r="AS154" s="392">
        <f>IF(ISBLANK(Actuals!AT67),0,Actuals!AT67)</f>
        <v/>
      </c>
      <c r="AT154" s="392">
        <f>IF(ISBLANK(Actuals!AU67),0,Actuals!AU67)</f>
        <v/>
      </c>
      <c r="AU154" s="392">
        <f>IF(ISBLANK(Actuals!AV67),0,Actuals!AV67)</f>
        <v/>
      </c>
      <c r="AV154" s="392">
        <f>IF(ISBLANK(Actuals!AW67),0,Actuals!AW67)</f>
        <v/>
      </c>
      <c r="AW154" s="392">
        <f>IF(ISBLANK(Actuals!AX67),0,Actuals!AX67)</f>
        <v/>
      </c>
      <c r="AX154" s="392">
        <f>IF(ISBLANK(Actuals!AY67),0,Actuals!AY67)</f>
        <v/>
      </c>
      <c r="AY154" s="392">
        <f>IF(ISBLANK(Actuals!AZ67),0,Actuals!AZ67)</f>
        <v/>
      </c>
      <c r="AZ154" s="392">
        <f>IF(ISBLANK(Actuals!BA67),0,Actuals!BA67)</f>
        <v/>
      </c>
      <c r="BA154" s="392">
        <f>IF(ISBLANK(Actuals!BB67),0,Actuals!BB67)</f>
        <v/>
      </c>
      <c r="BB154" s="392">
        <f>IF(ISBLANK(Actuals!BC67),0,Actuals!BC67)</f>
        <v/>
      </c>
      <c r="BC154" s="392">
        <f>IF(ISBLANK(Actuals!BD67),0,Actuals!BD67)</f>
        <v/>
      </c>
      <c r="BD154" s="392">
        <f>IF(ISBLANK(Actuals!BE67),0,Actuals!BE67)</f>
        <v/>
      </c>
      <c r="BE154" s="392">
        <f>IF(ISBLANK(Actuals!BF67),0,Actuals!BF67)</f>
        <v/>
      </c>
      <c r="BF154" s="392">
        <f>IF(ISBLANK(Actuals!BG67),0,Actuals!BG67)</f>
        <v/>
      </c>
      <c r="BG154" s="392">
        <f>IF(ISBLANK(Actuals!BH67),0,Actuals!BH67)</f>
        <v/>
      </c>
      <c r="BH154" s="392">
        <f>IF(ISBLANK(Actuals!BI67),0,Actuals!BI67)</f>
        <v/>
      </c>
      <c r="BI154" s="392">
        <f>IF(ISBLANK(Actuals!BJ67),0,Actuals!BJ67)</f>
        <v/>
      </c>
      <c r="BJ154" s="392">
        <f>IF(ISBLANK(Actuals!BK67),0,Actuals!BK67)</f>
        <v/>
      </c>
      <c r="BK154" s="392">
        <f>IF(ISBLANK(Actuals!BL67),0,Actuals!BL67)</f>
        <v/>
      </c>
      <c r="BL154" s="392">
        <f>IF(ISBLANK(Actuals!BM67),0,Actuals!BM67)</f>
        <v/>
      </c>
      <c r="BM154" s="392">
        <f>IF(ISBLANK(Actuals!BN67),0,Actuals!BN67)</f>
        <v/>
      </c>
      <c r="BN154" s="392">
        <f>IF(ISBLANK(Actuals!BO67),0,Actuals!BO67)</f>
        <v/>
      </c>
      <c r="BO154" s="392">
        <f>IF(ISBLANK(Actuals!BP67),0,Actuals!BP67)</f>
        <v/>
      </c>
      <c r="BP154" s="392">
        <f>IF(ISBLANK(Actuals!BQ67),0,Actuals!BQ67)</f>
        <v/>
      </c>
      <c r="BQ154" s="392">
        <f>IF(ISBLANK(Actuals!BR67),0,Actuals!BR67)</f>
        <v/>
      </c>
      <c r="BR154" s="392">
        <f>IF(ISBLANK(Actuals!BS67),0,Actuals!BS67)</f>
        <v/>
      </c>
      <c r="BS154" s="392">
        <f>IF(ISBLANK(Actuals!BT67),0,Actuals!BT67)</f>
        <v/>
      </c>
      <c r="BT154" s="392">
        <f>IF(ISBLANK(Actuals!BU67),0,Actuals!BU67)</f>
        <v/>
      </c>
      <c r="BU154" s="392">
        <f>IF(ISBLANK(Actuals!BV67),0,Actuals!BV67)</f>
        <v/>
      </c>
      <c r="BV154" s="392">
        <f>IF(ISBLANK(Actuals!BW67),0,Actuals!BW67)</f>
        <v/>
      </c>
      <c r="BW154" s="392">
        <f>IF(ISBLANK(Actuals!BX67),0,Actuals!BX67)</f>
        <v/>
      </c>
      <c r="BX154" s="392">
        <f>IF(ISBLANK(Actuals!BY67),0,Actuals!BY67)</f>
        <v/>
      </c>
      <c r="BY154" s="392">
        <f>IF(ISBLANK(Actuals!BZ67),0,Actuals!BZ67)</f>
        <v/>
      </c>
      <c r="BZ154" s="392">
        <f>IF(ISBLANK(Actuals!CA67),0,Actuals!CA67)</f>
        <v/>
      </c>
      <c r="CA154" s="392">
        <f>IF(ISBLANK(Actuals!CB67),0,Actuals!CB67)</f>
        <v/>
      </c>
      <c r="CB154" s="392">
        <f>IF(ISBLANK(Actuals!CC67),0,Actuals!CC67)</f>
        <v/>
      </c>
      <c r="CC154" s="392">
        <f>IF(ISBLANK(Actuals!CD67),0,Actuals!CD67)</f>
        <v/>
      </c>
      <c r="CD154" s="392">
        <f>IF(ISBLANK(Actuals!CE67),0,Actuals!CE67)</f>
        <v/>
      </c>
      <c r="CE154" s="392">
        <f>IF(ISBLANK(Actuals!CF67),0,Actuals!CF67)</f>
        <v/>
      </c>
      <c r="CF154" s="392">
        <f>IF(ISBLANK(Actuals!CG67),0,Actuals!CG67)</f>
        <v/>
      </c>
      <c r="CG154" s="392">
        <f>IF(ISBLANK(Actuals!CH67),0,Actuals!CH67)</f>
        <v/>
      </c>
      <c r="CH154" s="392">
        <f>IF(ISBLANK(Actuals!CI67),0,Actuals!CI67)</f>
        <v/>
      </c>
      <c r="CI154" s="392">
        <f>IF(ISBLANK(Actuals!CJ67),0,Actuals!CJ67)</f>
        <v/>
      </c>
      <c r="CJ154" s="392">
        <f>IF(ISBLANK(Actuals!CK67),0,Actuals!CK67)</f>
        <v/>
      </c>
      <c r="CK154" s="392">
        <f>IF(ISBLANK(Actuals!CL67),0,Actuals!CL67)</f>
        <v/>
      </c>
      <c r="CL154" s="392">
        <f>IF(ISBLANK(Actuals!CM67),0,Actuals!CM67)</f>
        <v/>
      </c>
      <c r="CM154" s="392">
        <f>IF(ISBLANK(Actuals!CN67),0,Actuals!CN67)</f>
        <v/>
      </c>
      <c r="CN154" s="392">
        <f>IF(ISBLANK(Actuals!CO67),0,Actuals!CO67)</f>
        <v/>
      </c>
      <c r="CO154" s="392">
        <f>IF(ISBLANK(Actuals!CP67),0,Actuals!CP67)</f>
        <v/>
      </c>
      <c r="CP154" s="392">
        <f>IF(ISBLANK(Actuals!CQ67),0,Actuals!CQ67)</f>
        <v/>
      </c>
      <c r="CQ154" s="392">
        <f>IF(ISBLANK(Actuals!CR67),0,Actuals!CR67)</f>
        <v/>
      </c>
      <c r="CR154" s="392">
        <f>IF(ISBLANK(Actuals!CS67),0,Actuals!CS67)</f>
        <v/>
      </c>
      <c r="CS154" s="392">
        <f>IF(ISBLANK(Actuals!CT67),0,Actuals!CT67)</f>
        <v/>
      </c>
      <c r="CT154" s="392">
        <f>IF(ISBLANK(Actuals!CU67),0,Actuals!CU67)</f>
        <v/>
      </c>
      <c r="CU154" s="392">
        <f>IF(ISBLANK(Actuals!CV67),0,Actuals!CV67)</f>
        <v/>
      </c>
      <c r="CV154" s="392">
        <f>IF(ISBLANK(Actuals!CW67),0,Actuals!CW67)</f>
        <v/>
      </c>
      <c r="CW154" s="392">
        <f>IF(ISBLANK(Actuals!CX67),0,Actuals!CX67)</f>
        <v/>
      </c>
      <c r="CX154" s="392">
        <f>IF(ISBLANK(Actuals!CY67),0,Actuals!CY67)</f>
        <v/>
      </c>
      <c r="CY154" s="392">
        <f>IF(ISBLANK(Actuals!CZ67),0,Actuals!CZ67)</f>
        <v/>
      </c>
      <c r="CZ154" s="392">
        <f>IF(ISBLANK(Actuals!DA67),0,Actuals!DA67)</f>
        <v/>
      </c>
      <c r="DA154" s="392">
        <f>IF(ISBLANK(Actuals!DB67),0,Actuals!DB67)</f>
        <v/>
      </c>
      <c r="DB154" s="392">
        <f>IF(ISBLANK(Actuals!DC67),0,Actuals!DC67)</f>
        <v/>
      </c>
      <c r="DC154" s="392">
        <f>IF(ISBLANK(Actuals!DD67),0,Actuals!DD67)</f>
        <v/>
      </c>
      <c r="DD154" s="392">
        <f>IF(ISBLANK(Actuals!DE67),0,Actuals!DE67)</f>
        <v/>
      </c>
      <c r="DE154" s="392">
        <f>IF(ISBLANK(Actuals!DF67),0,Actuals!DF67)</f>
        <v/>
      </c>
    </row>
    <row r="155" ht="15" customFormat="1" customHeight="1" s="380">
      <c r="A155" s="397" t="inlineStr">
        <is>
          <t>Ramsgate Dev Fee - 90% Occ</t>
        </is>
      </c>
      <c r="B155" s="392">
        <f>IF(ISBLANK(Actuals!C68),0,Actuals!C68)</f>
        <v/>
      </c>
      <c r="C155" s="392">
        <f>IF(ISBLANK(Actuals!D68),0,Actuals!D68)</f>
        <v/>
      </c>
      <c r="D155" s="392">
        <f>IF(ISBLANK(Actuals!E68),0,Actuals!E68)</f>
        <v/>
      </c>
      <c r="E155" s="392">
        <f>IF(ISBLANK(Actuals!F68),0,Actuals!F68)</f>
        <v/>
      </c>
      <c r="F155" s="392">
        <f>IF(ISBLANK(Actuals!G68),0,Actuals!G68)</f>
        <v/>
      </c>
      <c r="G155" s="392">
        <f>IF(ISBLANK(Actuals!H68),0,Actuals!H68)</f>
        <v/>
      </c>
      <c r="H155" s="392">
        <f>IF(ISBLANK(Actuals!I68),0,Actuals!I68)</f>
        <v/>
      </c>
      <c r="I155" s="392">
        <f>IF(ISBLANK(Actuals!J68),0,Actuals!J68)</f>
        <v/>
      </c>
      <c r="J155" s="392">
        <f>IF(ISBLANK(Actuals!K68),0,Actuals!K68)</f>
        <v/>
      </c>
      <c r="K155" s="392">
        <f>IF(ISBLANK(Actuals!L68),0,Actuals!L68)</f>
        <v/>
      </c>
      <c r="L155" s="392">
        <f>IF(ISBLANK(Actuals!M68),0,Actuals!M68)</f>
        <v/>
      </c>
      <c r="M155" s="392">
        <f>IF(ISBLANK(Actuals!N68),0,Actuals!N68)</f>
        <v/>
      </c>
      <c r="N155" s="392">
        <f>IF(ISBLANK(Actuals!O68),0,Actuals!O68)</f>
        <v/>
      </c>
      <c r="O155" s="392">
        <f>IF(ISBLANK(Actuals!P68),0,Actuals!P68)</f>
        <v/>
      </c>
      <c r="P155" s="392">
        <f>IF(ISBLANK(Actuals!Q68),0,Actuals!Q68)</f>
        <v/>
      </c>
      <c r="Q155" s="392">
        <f>IF(ISBLANK(Actuals!R68),0,Actuals!R68)</f>
        <v/>
      </c>
      <c r="R155" s="392">
        <f>IF(ISBLANK(Actuals!S68),0,Actuals!S68)</f>
        <v/>
      </c>
      <c r="S155" s="392">
        <f>IF(ISBLANK(Actuals!T68),0,Actuals!T68)</f>
        <v/>
      </c>
      <c r="T155" s="392">
        <f>IF(ISBLANK(Actuals!U68),0,Actuals!U68)</f>
        <v/>
      </c>
      <c r="U155" s="392">
        <f>IF(ISBLANK(Actuals!V68),0,Actuals!V68)</f>
        <v/>
      </c>
      <c r="V155" s="392">
        <f>IF(ISBLANK(Actuals!W68),0,Actuals!W68)</f>
        <v/>
      </c>
      <c r="W155" s="392">
        <f>IF(ISBLANK(Actuals!X68),0,Actuals!X68)</f>
        <v/>
      </c>
      <c r="X155" s="392">
        <f>IF(ISBLANK(Actuals!Y68),0,Actuals!Y68)</f>
        <v/>
      </c>
      <c r="Y155" s="392">
        <f>IF(ISBLANK(Actuals!Z68),0,Actuals!Z68)</f>
        <v/>
      </c>
      <c r="Z155" s="392">
        <f>IF(ISBLANK(Actuals!AA68),0,Actuals!AA68)</f>
        <v/>
      </c>
      <c r="AA155" s="392">
        <f>IF(ISBLANK(Actuals!AB68),0,Actuals!AB68)</f>
        <v/>
      </c>
      <c r="AB155" s="392">
        <f>IF(ISBLANK(Actuals!AC68),0,Actuals!AC68)</f>
        <v/>
      </c>
      <c r="AC155" s="392">
        <f>IF(ISBLANK(Actuals!AD68),0,Actuals!AD68)</f>
        <v/>
      </c>
      <c r="AD155" s="392">
        <f>IF(ISBLANK(Actuals!AE68),0,Actuals!AE68)</f>
        <v/>
      </c>
      <c r="AE155" s="392">
        <f>IF(ISBLANK(Actuals!AF68),IF(Projects!$G$3="Yes",57375,0),Actuals!AF68)</f>
        <v/>
      </c>
      <c r="AF155" s="392">
        <f>IF(ISBLANK(Actuals!AG68),0,Actuals!AG68)</f>
        <v/>
      </c>
      <c r="AG155" s="392">
        <f>IF(ISBLANK(Actuals!AH68),0,Actuals!AH68)</f>
        <v/>
      </c>
      <c r="AH155" s="392">
        <f>IF(ISBLANK(Actuals!AI68),0,Actuals!AI68)</f>
        <v/>
      </c>
      <c r="AI155" s="392">
        <f>IF(ISBLANK(Actuals!AJ68),0,Actuals!AJ68)</f>
        <v/>
      </c>
      <c r="AJ155" s="392">
        <f>IF(ISBLANK(Actuals!AK68),0,Actuals!AK68)</f>
        <v/>
      </c>
      <c r="AK155" s="392">
        <f>IF(ISBLANK(Actuals!AL68),0,Actuals!AL68)</f>
        <v/>
      </c>
      <c r="AL155" s="392">
        <f>IF(ISBLANK(Actuals!AM68),0,Actuals!AM68)</f>
        <v/>
      </c>
      <c r="AM155" s="392">
        <f>IF(ISBLANK(Actuals!AN68),0,Actuals!AN68)</f>
        <v/>
      </c>
      <c r="AN155" s="392">
        <f>IF(ISBLANK(Actuals!AO68),0,Actuals!AO68)</f>
        <v/>
      </c>
      <c r="AO155" s="392">
        <f>IF(ISBLANK(Actuals!AP68),0,Actuals!AP68)</f>
        <v/>
      </c>
      <c r="AP155" s="392">
        <f>IF(ISBLANK(Actuals!AQ68),0,Actuals!AQ68)</f>
        <v/>
      </c>
      <c r="AQ155" s="392">
        <f>IF(ISBLANK(Actuals!AR68),0,Actuals!AR68)</f>
        <v/>
      </c>
      <c r="AR155" s="392">
        <f>IF(ISBLANK(Actuals!AS68),0,Actuals!AS68)</f>
        <v/>
      </c>
      <c r="AS155" s="392">
        <f>IF(ISBLANK(Actuals!AT68),0,Actuals!AT68)</f>
        <v/>
      </c>
      <c r="AT155" s="392">
        <f>IF(ISBLANK(Actuals!AU68),0,Actuals!AU68)</f>
        <v/>
      </c>
      <c r="AU155" s="392">
        <f>IF(ISBLANK(Actuals!AV68),0,Actuals!AV68)</f>
        <v/>
      </c>
      <c r="AV155" s="392">
        <f>IF(ISBLANK(Actuals!AW68),0,Actuals!AW68)</f>
        <v/>
      </c>
      <c r="AW155" s="392">
        <f>IF(ISBLANK(Actuals!AX68),0,Actuals!AX68)</f>
        <v/>
      </c>
      <c r="AX155" s="392">
        <f>IF(ISBLANK(Actuals!AY68),0,Actuals!AY68)</f>
        <v/>
      </c>
      <c r="AY155" s="392">
        <f>IF(ISBLANK(Actuals!AZ68),0,Actuals!AZ68)</f>
        <v/>
      </c>
      <c r="AZ155" s="392">
        <f>IF(ISBLANK(Actuals!BA68),0,Actuals!BA68)</f>
        <v/>
      </c>
      <c r="BA155" s="392">
        <f>IF(ISBLANK(Actuals!BB68),0,Actuals!BB68)</f>
        <v/>
      </c>
      <c r="BB155" s="392">
        <f>IF(ISBLANK(Actuals!BC68),0,Actuals!BC68)</f>
        <v/>
      </c>
      <c r="BC155" s="392">
        <f>IF(ISBLANK(Actuals!BD68),0,Actuals!BD68)</f>
        <v/>
      </c>
      <c r="BD155" s="392">
        <f>IF(ISBLANK(Actuals!BE68),0,Actuals!BE68)</f>
        <v/>
      </c>
      <c r="BE155" s="392">
        <f>IF(ISBLANK(Actuals!BF68),0,Actuals!BF68)</f>
        <v/>
      </c>
      <c r="BF155" s="392">
        <f>IF(ISBLANK(Actuals!BG68),0,Actuals!BG68)</f>
        <v/>
      </c>
      <c r="BG155" s="392">
        <f>IF(ISBLANK(Actuals!BH68),0,Actuals!BH68)</f>
        <v/>
      </c>
      <c r="BH155" s="392">
        <f>IF(ISBLANK(Actuals!BI68),0,Actuals!BI68)</f>
        <v/>
      </c>
      <c r="BI155" s="392">
        <f>IF(ISBLANK(Actuals!BJ68),0,Actuals!BJ68)</f>
        <v/>
      </c>
      <c r="BJ155" s="392">
        <f>IF(ISBLANK(Actuals!BK68),0,Actuals!BK68)</f>
        <v/>
      </c>
      <c r="BK155" s="392">
        <f>IF(ISBLANK(Actuals!BL68),0,Actuals!BL68)</f>
        <v/>
      </c>
      <c r="BL155" s="392">
        <f>IF(ISBLANK(Actuals!BM68),0,Actuals!BM68)</f>
        <v/>
      </c>
      <c r="BM155" s="392">
        <f>IF(ISBLANK(Actuals!BN68),0,Actuals!BN68)</f>
        <v/>
      </c>
      <c r="BN155" s="392">
        <f>IF(ISBLANK(Actuals!BO68),0,Actuals!BO68)</f>
        <v/>
      </c>
      <c r="BO155" s="392">
        <f>IF(ISBLANK(Actuals!BP68),0,Actuals!BP68)</f>
        <v/>
      </c>
      <c r="BP155" s="392">
        <f>IF(ISBLANK(Actuals!BQ68),0,Actuals!BQ68)</f>
        <v/>
      </c>
      <c r="BQ155" s="392">
        <f>IF(ISBLANK(Actuals!BR68),0,Actuals!BR68)</f>
        <v/>
      </c>
      <c r="BR155" s="392">
        <f>IF(ISBLANK(Actuals!BS68),0,Actuals!BS68)</f>
        <v/>
      </c>
      <c r="BS155" s="392">
        <f>IF(ISBLANK(Actuals!BT68),0,Actuals!BT68)</f>
        <v/>
      </c>
      <c r="BT155" s="392">
        <f>IF(ISBLANK(Actuals!BU68),0,Actuals!BU68)</f>
        <v/>
      </c>
      <c r="BU155" s="392">
        <f>IF(ISBLANK(Actuals!BV68),0,Actuals!BV68)</f>
        <v/>
      </c>
      <c r="BV155" s="392">
        <f>IF(ISBLANK(Actuals!BW68),0,Actuals!BW68)</f>
        <v/>
      </c>
      <c r="BW155" s="392">
        <f>IF(ISBLANK(Actuals!BX68),0,Actuals!BX68)</f>
        <v/>
      </c>
      <c r="BX155" s="392">
        <f>IF(ISBLANK(Actuals!BY68),0,Actuals!BY68)</f>
        <v/>
      </c>
      <c r="BY155" s="392">
        <f>IF(ISBLANK(Actuals!BZ68),0,Actuals!BZ68)</f>
        <v/>
      </c>
      <c r="BZ155" s="392">
        <f>IF(ISBLANK(Actuals!CA68),0,Actuals!CA68)</f>
        <v/>
      </c>
      <c r="CA155" s="392">
        <f>IF(ISBLANK(Actuals!CB68),0,Actuals!CB68)</f>
        <v/>
      </c>
      <c r="CB155" s="392">
        <f>IF(ISBLANK(Actuals!CC68),0,Actuals!CC68)</f>
        <v/>
      </c>
      <c r="CC155" s="392">
        <f>IF(ISBLANK(Actuals!CD68),0,Actuals!CD68)</f>
        <v/>
      </c>
      <c r="CD155" s="392">
        <f>IF(ISBLANK(Actuals!CE68),0,Actuals!CE68)</f>
        <v/>
      </c>
      <c r="CE155" s="392">
        <f>IF(ISBLANK(Actuals!CF68),0,Actuals!CF68)</f>
        <v/>
      </c>
      <c r="CF155" s="392">
        <f>IF(ISBLANK(Actuals!CG68),0,Actuals!CG68)</f>
        <v/>
      </c>
      <c r="CG155" s="392">
        <f>IF(ISBLANK(Actuals!CH68),0,Actuals!CH68)</f>
        <v/>
      </c>
      <c r="CH155" s="392">
        <f>IF(ISBLANK(Actuals!CI68),0,Actuals!CI68)</f>
        <v/>
      </c>
      <c r="CI155" s="392">
        <f>IF(ISBLANK(Actuals!CJ68),0,Actuals!CJ68)</f>
        <v/>
      </c>
      <c r="CJ155" s="392">
        <f>IF(ISBLANK(Actuals!CK68),0,Actuals!CK68)</f>
        <v/>
      </c>
      <c r="CK155" s="392">
        <f>IF(ISBLANK(Actuals!CL68),0,Actuals!CL68)</f>
        <v/>
      </c>
      <c r="CL155" s="392">
        <f>IF(ISBLANK(Actuals!CM68),0,Actuals!CM68)</f>
        <v/>
      </c>
      <c r="CM155" s="392">
        <f>IF(ISBLANK(Actuals!CN68),0,Actuals!CN68)</f>
        <v/>
      </c>
      <c r="CN155" s="392">
        <f>IF(ISBLANK(Actuals!CO68),0,Actuals!CO68)</f>
        <v/>
      </c>
      <c r="CO155" s="392">
        <f>IF(ISBLANK(Actuals!CP68),0,Actuals!CP68)</f>
        <v/>
      </c>
      <c r="CP155" s="392">
        <f>IF(ISBLANK(Actuals!CQ68),0,Actuals!CQ68)</f>
        <v/>
      </c>
      <c r="CQ155" s="392">
        <f>IF(ISBLANK(Actuals!CR68),0,Actuals!CR68)</f>
        <v/>
      </c>
      <c r="CR155" s="392">
        <f>IF(ISBLANK(Actuals!CS68),0,Actuals!CS68)</f>
        <v/>
      </c>
      <c r="CS155" s="392">
        <f>IF(ISBLANK(Actuals!CT68),0,Actuals!CT68)</f>
        <v/>
      </c>
      <c r="CT155" s="392">
        <f>IF(ISBLANK(Actuals!CU68),0,Actuals!CU68)</f>
        <v/>
      </c>
      <c r="CU155" s="392">
        <f>IF(ISBLANK(Actuals!CV68),0,Actuals!CV68)</f>
        <v/>
      </c>
      <c r="CV155" s="392">
        <f>IF(ISBLANK(Actuals!CW68),0,Actuals!CW68)</f>
        <v/>
      </c>
      <c r="CW155" s="392">
        <f>IF(ISBLANK(Actuals!CX68),0,Actuals!CX68)</f>
        <v/>
      </c>
      <c r="CX155" s="392">
        <f>IF(ISBLANK(Actuals!CY68),0,Actuals!CY68)</f>
        <v/>
      </c>
      <c r="CY155" s="392">
        <f>IF(ISBLANK(Actuals!CZ68),0,Actuals!CZ68)</f>
        <v/>
      </c>
      <c r="CZ155" s="392">
        <f>IF(ISBLANK(Actuals!DA68),0,Actuals!DA68)</f>
        <v/>
      </c>
      <c r="DA155" s="392">
        <f>IF(ISBLANK(Actuals!DB68),0,Actuals!DB68)</f>
        <v/>
      </c>
      <c r="DB155" s="392">
        <f>IF(ISBLANK(Actuals!DC68),0,Actuals!DC68)</f>
        <v/>
      </c>
      <c r="DC155" s="392">
        <f>IF(ISBLANK(Actuals!DD68),0,Actuals!DD68)</f>
        <v/>
      </c>
      <c r="DD155" s="392">
        <f>IF(ISBLANK(Actuals!DE68),0,Actuals!DE68)</f>
        <v/>
      </c>
      <c r="DE155" s="392">
        <f>IF(ISBLANK(Actuals!DF68),0,Actuals!DF68)</f>
        <v/>
      </c>
    </row>
    <row r="156" ht="15" customFormat="1" customHeight="1" s="380">
      <c r="A156" s="397" t="inlineStr">
        <is>
          <t>Crenshaw Development Fee</t>
        </is>
      </c>
      <c r="B156" s="392">
        <f>IF(ISBLANK(Actuals!C69),0,Actuals!C69)</f>
        <v/>
      </c>
      <c r="C156" s="392">
        <f>IF(ISBLANK(Actuals!D69),0,Actuals!D69)</f>
        <v/>
      </c>
      <c r="D156" s="392">
        <f>IF(ISBLANK(Actuals!E69),0,Actuals!E69)</f>
        <v/>
      </c>
      <c r="E156" s="392">
        <f>IF(ISBLANK(Actuals!F69),IF(Projects!$G$2="Yes",9375,0),Actuals!F69)</f>
        <v/>
      </c>
      <c r="F156" s="392">
        <f>IF(ISBLANK(Actuals!G69),IF(Projects!$G$2="Yes",9375,0),Actuals!G69)</f>
        <v/>
      </c>
      <c r="G156" s="392">
        <f>IF(ISBLANK(Actuals!H69),IF(Projects!$G$2="Yes",9375,0),Actuals!H69)</f>
        <v/>
      </c>
      <c r="H156" s="392">
        <f>IF(ISBLANK(Actuals!I69),IF(Projects!$G$2="Yes",9375,0),Actuals!I69)</f>
        <v/>
      </c>
      <c r="I156" s="392">
        <f>IF(ISBLANK(Actuals!J69),IF(Projects!$G$2="Yes",9375,0),Actuals!J69)</f>
        <v/>
      </c>
      <c r="J156" s="392">
        <f>IF(ISBLANK(Actuals!K69),IF(Projects!$G$2="Yes",9375,0),Actuals!K69)</f>
        <v/>
      </c>
      <c r="K156" s="392">
        <f>IF(ISBLANK(Actuals!L69),IF(Projects!$G$2="Yes",9375,0),Actuals!L69)</f>
        <v/>
      </c>
      <c r="L156" s="392">
        <f>IF(ISBLANK(Actuals!M69),0,Actuals!M69)</f>
        <v/>
      </c>
      <c r="M156" s="392">
        <f>IF(ISBLANK(Actuals!N69),0,Actuals!N69)</f>
        <v/>
      </c>
      <c r="N156" s="392">
        <f>IF(ISBLANK(Actuals!O69),0,Actuals!O69)</f>
        <v/>
      </c>
      <c r="O156" s="392">
        <f>IF(ISBLANK(Actuals!P69),0,Actuals!P69)</f>
        <v/>
      </c>
      <c r="P156" s="392">
        <f>IF(ISBLANK(Actuals!Q69),0,Actuals!Q69)</f>
        <v/>
      </c>
      <c r="Q156" s="392">
        <f>IF(ISBLANK(Actuals!R69),0,Actuals!R69)</f>
        <v/>
      </c>
      <c r="R156" s="392">
        <f>IF(ISBLANK(Actuals!S69),0,Actuals!S69)</f>
        <v/>
      </c>
      <c r="S156" s="392">
        <f>IF(ISBLANK(Actuals!T69),0,Actuals!T69)</f>
        <v/>
      </c>
      <c r="T156" s="392">
        <f>IF(ISBLANK(Actuals!U69),0,Actuals!U69)</f>
        <v/>
      </c>
      <c r="U156" s="392">
        <f>IF(ISBLANK(Actuals!V69),0,Actuals!V69)</f>
        <v/>
      </c>
      <c r="V156" s="392">
        <f>IF(ISBLANK(Actuals!W69),0,Actuals!W69)</f>
        <v/>
      </c>
      <c r="W156" s="392">
        <f>IF(ISBLANK(Actuals!X69),0,Actuals!X69)</f>
        <v/>
      </c>
      <c r="X156" s="392">
        <f>IF(ISBLANK(Actuals!Y69),0,Actuals!Y69)</f>
        <v/>
      </c>
      <c r="Y156" s="392">
        <f>IF(ISBLANK(Actuals!Z69),0,Actuals!Z69)</f>
        <v/>
      </c>
      <c r="Z156" s="392">
        <f>IF(ISBLANK(Actuals!AA69),0,Actuals!AA69)</f>
        <v/>
      </c>
      <c r="AA156" s="392">
        <f>IF(ISBLANK(Actuals!AB69),0,Actuals!AB69)</f>
        <v/>
      </c>
      <c r="AB156" s="392">
        <f>IF(ISBLANK(Actuals!AC69),0,Actuals!AC69)</f>
        <v/>
      </c>
      <c r="AC156" s="392">
        <f>IF(ISBLANK(Actuals!AD69),0,Actuals!AD69)</f>
        <v/>
      </c>
      <c r="AD156" s="392">
        <f>IF(ISBLANK(Actuals!AE69),0,Actuals!AE69)</f>
        <v/>
      </c>
      <c r="AE156" s="392">
        <f>IF(ISBLANK(Actuals!AF69),0,Actuals!AF69)</f>
        <v/>
      </c>
      <c r="AF156" s="392">
        <f>IF(ISBLANK(Actuals!AG69),0,Actuals!AG69)</f>
        <v/>
      </c>
      <c r="AG156" s="392">
        <f>IF(ISBLANK(Actuals!AH69),0,Actuals!AH69)</f>
        <v/>
      </c>
      <c r="AH156" s="392">
        <f>IF(ISBLANK(Actuals!AI69),0,Actuals!AI69)</f>
        <v/>
      </c>
      <c r="AI156" s="392">
        <f>IF(ISBLANK(Actuals!AJ69),0,Actuals!AJ69)</f>
        <v/>
      </c>
      <c r="AJ156" s="392">
        <f>IF(ISBLANK(Actuals!AK69),0,Actuals!AK69)</f>
        <v/>
      </c>
      <c r="AK156" s="392">
        <f>IF(ISBLANK(Actuals!AL69),0,Actuals!AL69)</f>
        <v/>
      </c>
      <c r="AL156" s="392">
        <f>IF(ISBLANK(Actuals!AM69),0,Actuals!AM69)</f>
        <v/>
      </c>
      <c r="AM156" s="392">
        <f>IF(ISBLANK(Actuals!AN69),0,Actuals!AN69)</f>
        <v/>
      </c>
      <c r="AN156" s="392">
        <f>IF(ISBLANK(Actuals!AO69),0,Actuals!AO69)</f>
        <v/>
      </c>
      <c r="AO156" s="392">
        <f>IF(ISBLANK(Actuals!AP69),0,Actuals!AP69)</f>
        <v/>
      </c>
      <c r="AP156" s="392">
        <f>IF(ISBLANK(Actuals!AQ69),0,Actuals!AQ69)</f>
        <v/>
      </c>
      <c r="AQ156" s="392">
        <f>IF(ISBLANK(Actuals!AR69),0,Actuals!AR69)</f>
        <v/>
      </c>
      <c r="AR156" s="392">
        <f>IF(ISBLANK(Actuals!AS69),0,Actuals!AS69)</f>
        <v/>
      </c>
      <c r="AS156" s="392">
        <f>IF(ISBLANK(Actuals!AT69),0,Actuals!AT69)</f>
        <v/>
      </c>
      <c r="AT156" s="392">
        <f>IF(ISBLANK(Actuals!AU69),0,Actuals!AU69)</f>
        <v/>
      </c>
      <c r="AU156" s="392">
        <f>IF(ISBLANK(Actuals!AV69),0,Actuals!AV69)</f>
        <v/>
      </c>
      <c r="AV156" s="392">
        <f>IF(ISBLANK(Actuals!AW69),0,Actuals!AW69)</f>
        <v/>
      </c>
      <c r="AW156" s="392">
        <f>IF(ISBLANK(Actuals!AX69),0,Actuals!AX69)</f>
        <v/>
      </c>
      <c r="AX156" s="392">
        <f>IF(ISBLANK(Actuals!AY69),0,Actuals!AY69)</f>
        <v/>
      </c>
      <c r="AY156" s="392">
        <f>IF(ISBLANK(Actuals!AZ69),0,Actuals!AZ69)</f>
        <v/>
      </c>
      <c r="AZ156" s="392">
        <f>IF(ISBLANK(Actuals!BA69),0,Actuals!BA69)</f>
        <v/>
      </c>
      <c r="BA156" s="392">
        <f>IF(ISBLANK(Actuals!BB69),0,Actuals!BB69)</f>
        <v/>
      </c>
      <c r="BB156" s="392">
        <f>IF(ISBLANK(Actuals!BC69),0,Actuals!BC69)</f>
        <v/>
      </c>
      <c r="BC156" s="392">
        <f>IF(ISBLANK(Actuals!BD69),0,Actuals!BD69)</f>
        <v/>
      </c>
      <c r="BD156" s="392">
        <f>IF(ISBLANK(Actuals!BE69),0,Actuals!BE69)</f>
        <v/>
      </c>
      <c r="BE156" s="392">
        <f>IF(ISBLANK(Actuals!BF69),0,Actuals!BF69)</f>
        <v/>
      </c>
      <c r="BF156" s="392">
        <f>IF(ISBLANK(Actuals!BG69),0,Actuals!BG69)</f>
        <v/>
      </c>
      <c r="BG156" s="392">
        <f>IF(ISBLANK(Actuals!BH69),0,Actuals!BH69)</f>
        <v/>
      </c>
      <c r="BH156" s="392">
        <f>IF(ISBLANK(Actuals!BI69),0,Actuals!BI69)</f>
        <v/>
      </c>
      <c r="BI156" s="392">
        <f>IF(ISBLANK(Actuals!BJ69),0,Actuals!BJ69)</f>
        <v/>
      </c>
      <c r="BJ156" s="392">
        <f>IF(ISBLANK(Actuals!BK69),0,Actuals!BK69)</f>
        <v/>
      </c>
      <c r="BK156" s="392">
        <f>IF(ISBLANK(Actuals!BL69),0,Actuals!BL69)</f>
        <v/>
      </c>
      <c r="BL156" s="392">
        <f>IF(ISBLANK(Actuals!BM69),0,Actuals!BM69)</f>
        <v/>
      </c>
      <c r="BM156" s="392">
        <f>IF(ISBLANK(Actuals!BN69),0,Actuals!BN69)</f>
        <v/>
      </c>
      <c r="BN156" s="392">
        <f>IF(ISBLANK(Actuals!BO69),0,Actuals!BO69)</f>
        <v/>
      </c>
      <c r="BO156" s="392">
        <f>IF(ISBLANK(Actuals!BP69),0,Actuals!BP69)</f>
        <v/>
      </c>
      <c r="BP156" s="392">
        <f>IF(ISBLANK(Actuals!BQ69),0,Actuals!BQ69)</f>
        <v/>
      </c>
      <c r="BQ156" s="392">
        <f>IF(ISBLANK(Actuals!BR69),0,Actuals!BR69)</f>
        <v/>
      </c>
      <c r="BR156" s="392">
        <f>IF(ISBLANK(Actuals!BS69),0,Actuals!BS69)</f>
        <v/>
      </c>
      <c r="BS156" s="392">
        <f>IF(ISBLANK(Actuals!BT69),0,Actuals!BT69)</f>
        <v/>
      </c>
      <c r="BT156" s="392">
        <f>IF(ISBLANK(Actuals!BU69),0,Actuals!BU69)</f>
        <v/>
      </c>
      <c r="BU156" s="392">
        <f>IF(ISBLANK(Actuals!BV69),0,Actuals!BV69)</f>
        <v/>
      </c>
      <c r="BV156" s="392">
        <f>IF(ISBLANK(Actuals!BW69),0,Actuals!BW69)</f>
        <v/>
      </c>
      <c r="BW156" s="392">
        <f>IF(ISBLANK(Actuals!BX69),0,Actuals!BX69)</f>
        <v/>
      </c>
      <c r="BX156" s="392">
        <f>IF(ISBLANK(Actuals!BY69),0,Actuals!BY69)</f>
        <v/>
      </c>
      <c r="BY156" s="392">
        <f>IF(ISBLANK(Actuals!BZ69),0,Actuals!BZ69)</f>
        <v/>
      </c>
      <c r="BZ156" s="392">
        <f>IF(ISBLANK(Actuals!CA69),0,Actuals!CA69)</f>
        <v/>
      </c>
      <c r="CA156" s="392">
        <f>IF(ISBLANK(Actuals!CB69),0,Actuals!CB69)</f>
        <v/>
      </c>
      <c r="CB156" s="392">
        <f>IF(ISBLANK(Actuals!CC69),0,Actuals!CC69)</f>
        <v/>
      </c>
      <c r="CC156" s="392">
        <f>IF(ISBLANK(Actuals!CD69),0,Actuals!CD69)</f>
        <v/>
      </c>
      <c r="CD156" s="392">
        <f>IF(ISBLANK(Actuals!CE69),0,Actuals!CE69)</f>
        <v/>
      </c>
      <c r="CE156" s="392">
        <f>IF(ISBLANK(Actuals!CF69),0,Actuals!CF69)</f>
        <v/>
      </c>
      <c r="CF156" s="392">
        <f>IF(ISBLANK(Actuals!CG69),0,Actuals!CG69)</f>
        <v/>
      </c>
      <c r="CG156" s="392">
        <f>IF(ISBLANK(Actuals!CH69),0,Actuals!CH69)</f>
        <v/>
      </c>
      <c r="CH156" s="392">
        <f>IF(ISBLANK(Actuals!CI69),0,Actuals!CI69)</f>
        <v/>
      </c>
      <c r="CI156" s="392">
        <f>IF(ISBLANK(Actuals!CJ69),0,Actuals!CJ69)</f>
        <v/>
      </c>
      <c r="CJ156" s="392">
        <f>IF(ISBLANK(Actuals!CK69),0,Actuals!CK69)</f>
        <v/>
      </c>
      <c r="CK156" s="392">
        <f>IF(ISBLANK(Actuals!CL69),0,Actuals!CL69)</f>
        <v/>
      </c>
      <c r="CL156" s="392">
        <f>IF(ISBLANK(Actuals!CM69),0,Actuals!CM69)</f>
        <v/>
      </c>
      <c r="CM156" s="392">
        <f>IF(ISBLANK(Actuals!CN69),0,Actuals!CN69)</f>
        <v/>
      </c>
      <c r="CN156" s="392">
        <f>IF(ISBLANK(Actuals!CO69),0,Actuals!CO69)</f>
        <v/>
      </c>
      <c r="CO156" s="392">
        <f>IF(ISBLANK(Actuals!CP69),0,Actuals!CP69)</f>
        <v/>
      </c>
      <c r="CP156" s="392">
        <f>IF(ISBLANK(Actuals!CQ69),0,Actuals!CQ69)</f>
        <v/>
      </c>
      <c r="CQ156" s="392">
        <f>IF(ISBLANK(Actuals!CR69),0,Actuals!CR69)</f>
        <v/>
      </c>
      <c r="CR156" s="392">
        <f>IF(ISBLANK(Actuals!CS69),0,Actuals!CS69)</f>
        <v/>
      </c>
      <c r="CS156" s="392">
        <f>IF(ISBLANK(Actuals!CT69),0,Actuals!CT69)</f>
        <v/>
      </c>
      <c r="CT156" s="392">
        <f>IF(ISBLANK(Actuals!CU69),0,Actuals!CU69)</f>
        <v/>
      </c>
      <c r="CU156" s="392">
        <f>IF(ISBLANK(Actuals!CV69),0,Actuals!CV69)</f>
        <v/>
      </c>
      <c r="CV156" s="392">
        <f>IF(ISBLANK(Actuals!CW69),0,Actuals!CW69)</f>
        <v/>
      </c>
      <c r="CW156" s="392">
        <f>IF(ISBLANK(Actuals!CX69),0,Actuals!CX69)</f>
        <v/>
      </c>
      <c r="CX156" s="392">
        <f>IF(ISBLANK(Actuals!CY69),0,Actuals!CY69)</f>
        <v/>
      </c>
      <c r="CY156" s="392">
        <f>IF(ISBLANK(Actuals!CZ69),0,Actuals!CZ69)</f>
        <v/>
      </c>
      <c r="CZ156" s="392">
        <f>IF(ISBLANK(Actuals!DA69),0,Actuals!DA69)</f>
        <v/>
      </c>
      <c r="DA156" s="392">
        <f>IF(ISBLANK(Actuals!DB69),0,Actuals!DB69)</f>
        <v/>
      </c>
      <c r="DB156" s="392">
        <f>IF(ISBLANK(Actuals!DC69),0,Actuals!DC69)</f>
        <v/>
      </c>
      <c r="DC156" s="392">
        <f>IF(ISBLANK(Actuals!DD69),0,Actuals!DD69)</f>
        <v/>
      </c>
      <c r="DD156" s="392">
        <f>IF(ISBLANK(Actuals!DE69),0,Actuals!DE69)</f>
        <v/>
      </c>
      <c r="DE156" s="392">
        <f>IF(ISBLANK(Actuals!DF69),0,Actuals!DF69)</f>
        <v/>
      </c>
    </row>
    <row r="157" ht="15" customFormat="1" customHeight="1" s="380">
      <c r="A157" s="397" t="inlineStr">
        <is>
          <t>12th &amp; Fir Developer Fee</t>
        </is>
      </c>
      <c r="B157" s="392">
        <f>IF(ISBLANK(Actuals!C70),0,Actuals!C70)</f>
        <v/>
      </c>
      <c r="C157" s="392">
        <f>IF(ISBLANK(Actuals!D70),0,Actuals!D70)</f>
        <v/>
      </c>
      <c r="D157" s="392">
        <f>IF(ISBLANK(Actuals!E70),0,Actuals!E70)</f>
        <v/>
      </c>
      <c r="E157" s="392">
        <f>IF(ISBLANK(Actuals!F70),0,Actuals!F70)</f>
        <v/>
      </c>
      <c r="F157" s="392">
        <f>IF(ISBLANK(Actuals!G70),0,Actuals!G70)</f>
        <v/>
      </c>
      <c r="G157" s="392">
        <f>IF(ISBLANK(Actuals!H70),0,Actuals!H70)</f>
        <v/>
      </c>
      <c r="H157" s="392">
        <f>IF(ISBLANK(Actuals!I70),9500,Actuals!I70)</f>
        <v/>
      </c>
      <c r="I157" s="392">
        <f>IF(ISBLANK(Actuals!J70),9500,Actuals!J70)</f>
        <v/>
      </c>
      <c r="J157" s="392">
        <f>IF(ISBLANK(Actuals!K70),9500,Actuals!K70)</f>
        <v/>
      </c>
      <c r="K157" s="392">
        <f>IF(ISBLANK(Actuals!L70),9500,Actuals!L70)</f>
        <v/>
      </c>
      <c r="L157" s="392">
        <f>IF(ISBLANK(Actuals!M70),9500,Actuals!M70)</f>
        <v/>
      </c>
      <c r="M157" s="392">
        <f>IF(ISBLANK(Actuals!N70),9500,Actuals!N70)</f>
        <v/>
      </c>
      <c r="N157" s="392">
        <f>IF(ISBLANK(Actuals!O70),9500,Actuals!O70)</f>
        <v/>
      </c>
      <c r="O157" s="392">
        <f>IF(ISBLANK(Actuals!P70),9500,Actuals!P70)</f>
        <v/>
      </c>
      <c r="P157" s="392">
        <f>IF(ISBLANK(Actuals!Q70),9500,Actuals!Q70)</f>
        <v/>
      </c>
      <c r="Q157" s="392">
        <f>IF(ISBLANK(Actuals!R70),9500,Actuals!R70)</f>
        <v/>
      </c>
      <c r="R157" s="392">
        <f>IF(ISBLANK(Actuals!S70),9500,Actuals!S70)</f>
        <v/>
      </c>
      <c r="S157" s="392">
        <f>IF(ISBLANK(Actuals!T70),9500,Actuals!T70)</f>
        <v/>
      </c>
      <c r="T157" s="392">
        <f>IF(ISBLANK(Actuals!U70),9500,Actuals!U70)</f>
        <v/>
      </c>
      <c r="U157" s="392">
        <f>IF(ISBLANK(Actuals!V70),9500,Actuals!V70)</f>
        <v/>
      </c>
      <c r="V157" s="392">
        <f>IF(ISBLANK(Actuals!W70),9500,Actuals!W70)</f>
        <v/>
      </c>
      <c r="W157" s="392">
        <f>IF(ISBLANK(Actuals!X70),9500,Actuals!X70)</f>
        <v/>
      </c>
      <c r="X157" s="392">
        <f>IF(ISBLANK(Actuals!Y70),9500,Actuals!Y70)</f>
        <v/>
      </c>
      <c r="Y157" s="392">
        <f>IF(ISBLANK(Actuals!Z70),9500,Actuals!Z70)</f>
        <v/>
      </c>
      <c r="Z157" s="392">
        <f>IF(ISBLANK(Actuals!AA70),9500,Actuals!AA70)</f>
        <v/>
      </c>
      <c r="AA157" s="392">
        <f>IF(ISBLANK(Actuals!AB70),9500,Actuals!AB70)</f>
        <v/>
      </c>
      <c r="AB157" s="392">
        <f>IF(ISBLANK(Actuals!AC70),9500,Actuals!AC70)</f>
        <v/>
      </c>
      <c r="AC157" s="392">
        <f>IF(ISBLANK(Actuals!AD70),9500,Actuals!AD70)</f>
        <v/>
      </c>
      <c r="AD157" s="392">
        <f>IF(ISBLANK(Actuals!AE70),9500,Actuals!AE70)</f>
        <v/>
      </c>
      <c r="AE157" s="392">
        <f>IF(ISBLANK(Actuals!AF70),9500,Actuals!AF70)</f>
        <v/>
      </c>
      <c r="AF157" s="392">
        <f>IF(ISBLANK(Actuals!AG70),9500,Actuals!AG70)</f>
        <v/>
      </c>
      <c r="AG157" s="392">
        <f>IF(ISBLANK(Actuals!AH70),9500,Actuals!AH70)</f>
        <v/>
      </c>
      <c r="AH157" s="392">
        <f>IF(ISBLANK(Actuals!AI70),9500,Actuals!AI70)</f>
        <v/>
      </c>
      <c r="AI157" s="392">
        <f>IF(ISBLANK(Actuals!AJ70),0,Actuals!AJ70)</f>
        <v/>
      </c>
      <c r="AJ157" s="392">
        <f>IF(ISBLANK(Actuals!AK70),0,Actuals!AK70)</f>
        <v/>
      </c>
      <c r="AK157" s="392">
        <f>IF(ISBLANK(Actuals!AL70),0,Actuals!AL70)</f>
        <v/>
      </c>
      <c r="AL157" s="392">
        <f>IF(ISBLANK(Actuals!AM70),0,Actuals!AM70)</f>
        <v/>
      </c>
      <c r="AM157" s="392">
        <f>IF(ISBLANK(Actuals!AN70),0,Actuals!AN70)</f>
        <v/>
      </c>
      <c r="AN157" s="392">
        <f>IF(ISBLANK(Actuals!AO70),0,Actuals!AO70)</f>
        <v/>
      </c>
      <c r="AO157" s="392">
        <f>IF(ISBLANK(Actuals!AP70),0,Actuals!AP70)</f>
        <v/>
      </c>
      <c r="AP157" s="392">
        <f>IF(ISBLANK(Actuals!AQ70),0,Actuals!AQ70)</f>
        <v/>
      </c>
      <c r="AQ157" s="392">
        <f>IF(ISBLANK(Actuals!AR70),0,Actuals!AR70)</f>
        <v/>
      </c>
      <c r="AR157" s="392">
        <f>IF(ISBLANK(Actuals!AS70),0,Actuals!AS70)</f>
        <v/>
      </c>
      <c r="AS157" s="392">
        <f>IF(ISBLANK(Actuals!AT70),0,Actuals!AT70)</f>
        <v/>
      </c>
      <c r="AT157" s="392">
        <f>IF(ISBLANK(Actuals!AU70),0,Actuals!AU70)</f>
        <v/>
      </c>
      <c r="AU157" s="392">
        <f>IF(ISBLANK(Actuals!AV70),0,Actuals!AV70)</f>
        <v/>
      </c>
      <c r="AV157" s="392">
        <f>IF(ISBLANK(Actuals!AW70),0,Actuals!AW70)</f>
        <v/>
      </c>
      <c r="AW157" s="392">
        <f>IF(ISBLANK(Actuals!AX70),0,Actuals!AX70)</f>
        <v/>
      </c>
      <c r="AX157" s="392">
        <f>IF(ISBLANK(Actuals!AY70),0,Actuals!AY70)</f>
        <v/>
      </c>
      <c r="AY157" s="392">
        <f>IF(ISBLANK(Actuals!AZ70),0,Actuals!AZ70)</f>
        <v/>
      </c>
      <c r="AZ157" s="392">
        <f>IF(ISBLANK(Actuals!BA70),0,Actuals!BA70)</f>
        <v/>
      </c>
      <c r="BA157" s="392">
        <f>IF(ISBLANK(Actuals!BB70),0,Actuals!BB70)</f>
        <v/>
      </c>
      <c r="BB157" s="392">
        <f>IF(ISBLANK(Actuals!BC70),0,Actuals!BC70)</f>
        <v/>
      </c>
      <c r="BC157" s="392">
        <f>IF(ISBLANK(Actuals!BD70),0,Actuals!BD70)</f>
        <v/>
      </c>
      <c r="BD157" s="392">
        <f>IF(ISBLANK(Actuals!BE70),0,Actuals!BE70)</f>
        <v/>
      </c>
      <c r="BE157" s="392">
        <f>IF(ISBLANK(Actuals!BF70),0,Actuals!BF70)</f>
        <v/>
      </c>
      <c r="BF157" s="392">
        <f>IF(ISBLANK(Actuals!BG70),0,Actuals!BG70)</f>
        <v/>
      </c>
      <c r="BG157" s="392">
        <f>IF(ISBLANK(Actuals!BH70),0,Actuals!BH70)</f>
        <v/>
      </c>
      <c r="BH157" s="392">
        <f>IF(ISBLANK(Actuals!BI70),0,Actuals!BI70)</f>
        <v/>
      </c>
      <c r="BI157" s="392">
        <f>IF(ISBLANK(Actuals!BJ70),0,Actuals!BJ70)</f>
        <v/>
      </c>
      <c r="BJ157" s="392">
        <f>IF(ISBLANK(Actuals!BK70),0,Actuals!BK70)</f>
        <v/>
      </c>
      <c r="BK157" s="392">
        <f>IF(ISBLANK(Actuals!BL70),0,Actuals!BL70)</f>
        <v/>
      </c>
      <c r="BL157" s="392">
        <f>IF(ISBLANK(Actuals!BM70),0,Actuals!BM70)</f>
        <v/>
      </c>
      <c r="BM157" s="392">
        <f>IF(ISBLANK(Actuals!BN70),0,Actuals!BN70)</f>
        <v/>
      </c>
      <c r="BN157" s="392">
        <f>IF(ISBLANK(Actuals!BO70),0,Actuals!BO70)</f>
        <v/>
      </c>
      <c r="BO157" s="392">
        <f>IF(ISBLANK(Actuals!BP70),0,Actuals!BP70)</f>
        <v/>
      </c>
      <c r="BP157" s="392">
        <f>IF(ISBLANK(Actuals!BQ70),0,Actuals!BQ70)</f>
        <v/>
      </c>
      <c r="BQ157" s="392">
        <f>IF(ISBLANK(Actuals!BR70),0,Actuals!BR70)</f>
        <v/>
      </c>
      <c r="BR157" s="392">
        <f>IF(ISBLANK(Actuals!BS70),0,Actuals!BS70)</f>
        <v/>
      </c>
      <c r="BS157" s="392">
        <f>IF(ISBLANK(Actuals!BT70),0,Actuals!BT70)</f>
        <v/>
      </c>
      <c r="BT157" s="392">
        <f>IF(ISBLANK(Actuals!BU70),0,Actuals!BU70)</f>
        <v/>
      </c>
      <c r="BU157" s="392">
        <f>IF(ISBLANK(Actuals!BV70),0,Actuals!BV70)</f>
        <v/>
      </c>
      <c r="BV157" s="392">
        <f>IF(ISBLANK(Actuals!BW70),0,Actuals!BW70)</f>
        <v/>
      </c>
      <c r="BW157" s="392">
        <f>IF(ISBLANK(Actuals!BX70),0,Actuals!BX70)</f>
        <v/>
      </c>
      <c r="BX157" s="392">
        <f>IF(ISBLANK(Actuals!BY70),0,Actuals!BY70)</f>
        <v/>
      </c>
      <c r="BY157" s="392">
        <f>IF(ISBLANK(Actuals!BZ70),0,Actuals!BZ70)</f>
        <v/>
      </c>
      <c r="BZ157" s="392">
        <f>IF(ISBLANK(Actuals!CA70),0,Actuals!CA70)</f>
        <v/>
      </c>
      <c r="CA157" s="392">
        <f>IF(ISBLANK(Actuals!CB70),0,Actuals!CB70)</f>
        <v/>
      </c>
      <c r="CB157" s="392">
        <f>IF(ISBLANK(Actuals!CC70),0,Actuals!CC70)</f>
        <v/>
      </c>
      <c r="CC157" s="392">
        <f>IF(ISBLANK(Actuals!CD70),0,Actuals!CD70)</f>
        <v/>
      </c>
      <c r="CD157" s="392">
        <f>IF(ISBLANK(Actuals!CE70),0,Actuals!CE70)</f>
        <v/>
      </c>
      <c r="CE157" s="392">
        <f>IF(ISBLANK(Actuals!CF70),0,Actuals!CF70)</f>
        <v/>
      </c>
      <c r="CF157" s="392">
        <f>IF(ISBLANK(Actuals!CG70),0,Actuals!CG70)</f>
        <v/>
      </c>
      <c r="CG157" s="392">
        <f>IF(ISBLANK(Actuals!CH70),0,Actuals!CH70)</f>
        <v/>
      </c>
      <c r="CH157" s="392">
        <f>IF(ISBLANK(Actuals!CI70),0,Actuals!CI70)</f>
        <v/>
      </c>
      <c r="CI157" s="392">
        <f>IF(ISBLANK(Actuals!CJ70),0,Actuals!CJ70)</f>
        <v/>
      </c>
      <c r="CJ157" s="392">
        <f>IF(ISBLANK(Actuals!CK70),0,Actuals!CK70)</f>
        <v/>
      </c>
      <c r="CK157" s="392">
        <f>IF(ISBLANK(Actuals!CL70),0,Actuals!CL70)</f>
        <v/>
      </c>
      <c r="CL157" s="392">
        <f>IF(ISBLANK(Actuals!CM70),0,Actuals!CM70)</f>
        <v/>
      </c>
      <c r="CM157" s="392">
        <f>IF(ISBLANK(Actuals!CN70),0,Actuals!CN70)</f>
        <v/>
      </c>
      <c r="CN157" s="392">
        <f>IF(ISBLANK(Actuals!CO70),0,Actuals!CO70)</f>
        <v/>
      </c>
      <c r="CO157" s="392">
        <f>IF(ISBLANK(Actuals!CP70),0,Actuals!CP70)</f>
        <v/>
      </c>
      <c r="CP157" s="392">
        <f>IF(ISBLANK(Actuals!CQ70),0,Actuals!CQ70)</f>
        <v/>
      </c>
      <c r="CQ157" s="392">
        <f>IF(ISBLANK(Actuals!CR70),0,Actuals!CR70)</f>
        <v/>
      </c>
      <c r="CR157" s="392">
        <f>IF(ISBLANK(Actuals!CS70),0,Actuals!CS70)</f>
        <v/>
      </c>
      <c r="CS157" s="392">
        <f>IF(ISBLANK(Actuals!CT70),0,Actuals!CT70)</f>
        <v/>
      </c>
      <c r="CT157" s="392">
        <f>IF(ISBLANK(Actuals!CU70),0,Actuals!CU70)</f>
        <v/>
      </c>
      <c r="CU157" s="392">
        <f>IF(ISBLANK(Actuals!CV70),0,Actuals!CV70)</f>
        <v/>
      </c>
      <c r="CV157" s="392">
        <f>IF(ISBLANK(Actuals!CW70),0,Actuals!CW70)</f>
        <v/>
      </c>
      <c r="CW157" s="392">
        <f>IF(ISBLANK(Actuals!CX70),0,Actuals!CX70)</f>
        <v/>
      </c>
      <c r="CX157" s="392">
        <f>IF(ISBLANK(Actuals!CY70),0,Actuals!CY70)</f>
        <v/>
      </c>
      <c r="CY157" s="392">
        <f>IF(ISBLANK(Actuals!CZ70),0,Actuals!CZ70)</f>
        <v/>
      </c>
      <c r="CZ157" s="392">
        <f>IF(ISBLANK(Actuals!DA70),0,Actuals!DA70)</f>
        <v/>
      </c>
      <c r="DA157" s="392">
        <f>IF(ISBLANK(Actuals!DB70),0,Actuals!DB70)</f>
        <v/>
      </c>
      <c r="DB157" s="392">
        <f>IF(ISBLANK(Actuals!DC70),0,Actuals!DC70)</f>
        <v/>
      </c>
      <c r="DC157" s="392">
        <f>IF(ISBLANK(Actuals!DD70),0,Actuals!DD70)</f>
        <v/>
      </c>
      <c r="DD157" s="392">
        <f>IF(ISBLANK(Actuals!DE70),0,Actuals!DE70)</f>
        <v/>
      </c>
      <c r="DE157" s="392">
        <f>IF(ISBLANK(Actuals!DF70),0,Actuals!DF70)</f>
        <v/>
      </c>
    </row>
    <row r="158" ht="15" customFormat="1" customHeight="1" s="380">
      <c r="A158" s="397" t="inlineStr">
        <is>
          <t>Klump Accounting Fee</t>
        </is>
      </c>
      <c r="B158" s="392">
        <f>IF(ISBLANK(Actuals!C71),0,Actuals!C71)</f>
        <v/>
      </c>
      <c r="C158" s="392">
        <f>IF(ISBLANK(Actuals!D71),0,Actuals!D71)</f>
        <v/>
      </c>
      <c r="D158" s="392">
        <f>IF(ISBLANK(Actuals!E71),0,Actuals!E71)</f>
        <v/>
      </c>
      <c r="E158" s="392">
        <f>IF(ISBLANK(Actuals!F71),IF(AND(Projects!$G$11="Yes",1&gt;=Projects!$C$11,1&lt;Projects!$C$11+Projects!$D$11),6315.79,0),Actuals!F71)</f>
        <v/>
      </c>
      <c r="F158" s="392">
        <f>IF(ISBLANK(Actuals!G71),IF(AND(Projects!$G$11="Yes",2&gt;=Projects!$C$11,2&lt;Projects!$C$11+Projects!$D$11),6315.79,0),Actuals!G71)</f>
        <v/>
      </c>
      <c r="G158" s="392">
        <f>IF(ISBLANK(Actuals!H71),IF(AND(Projects!$G$11="Yes",3&gt;=Projects!$C$11,3&lt;Projects!$C$11+Projects!$D$11),6315.79,0),Actuals!H71)</f>
        <v/>
      </c>
      <c r="H158" s="392">
        <f>IF(ISBLANK(Actuals!I71),IF(AND(Projects!$G$11="Yes",4&gt;=Projects!$C$11,4&lt;Projects!$C$11+Projects!$D$11),6315.79,0),Actuals!I71)</f>
        <v/>
      </c>
      <c r="I158" s="392">
        <f>IF(ISBLANK(Actuals!J71),IF(AND(Projects!$G$11="Yes",5&gt;=Projects!$C$11,5&lt;Projects!$C$11+Projects!$D$11),6315.79,0),Actuals!J71)</f>
        <v/>
      </c>
      <c r="J158" s="392">
        <f>IF(ISBLANK(Actuals!K71),IF(AND(Projects!$G$11="Yes",6&gt;=Projects!$C$11,6&lt;Projects!$C$11+Projects!$D$11),6315.79,0),Actuals!K71)</f>
        <v/>
      </c>
      <c r="K158" s="392">
        <f>IF(ISBLANK(Actuals!L71),IF(AND(Projects!$G$11="Yes",7&gt;=Projects!$C$11,7&lt;Projects!$C$11+Projects!$D$11),6315.79,0),Actuals!L71)</f>
        <v/>
      </c>
      <c r="L158" s="392">
        <f>IF(ISBLANK(Actuals!M71),IF(AND(Projects!$G$11="Yes",8&gt;=Projects!$C$11,8&lt;Projects!$C$11+Projects!$D$11),6315.79,0),Actuals!M71)</f>
        <v/>
      </c>
      <c r="M158" s="392">
        <f>IF(ISBLANK(Actuals!N71),IF(AND(Projects!$G$11="Yes",9&gt;=Projects!$C$11,9&lt;Projects!$C$11+Projects!$D$11),6315.79,0),Actuals!N71)</f>
        <v/>
      </c>
      <c r="N158" s="392">
        <f>IF(ISBLANK(Actuals!O71),IF(AND(Projects!$G$11="Yes",10&gt;=Projects!$C$11,10&lt;Projects!$C$11+Projects!$D$11),6315.79,0),Actuals!O71)</f>
        <v/>
      </c>
      <c r="O158" s="392">
        <f>IF(ISBLANK(Actuals!P71),IF(AND(Projects!$G$11="Yes",11&gt;=Projects!$C$11,11&lt;Projects!$C$11+Projects!$D$11),6315.79,0),Actuals!P71)</f>
        <v/>
      </c>
      <c r="P158" s="392">
        <f>IF(ISBLANK(Actuals!Q71),IF(AND(Projects!$G$11="Yes",12&gt;=Projects!$C$11,12&lt;Projects!$C$11+Projects!$D$11),6315.79,0),Actuals!Q71)</f>
        <v/>
      </c>
      <c r="Q158" s="392">
        <f>IF(ISBLANK(Actuals!R71),IF(AND(Projects!$G$11="Yes",13&gt;=Projects!$C$11,13&lt;Projects!$C$11+Projects!$D$11),6315.79,0),Actuals!R71)</f>
        <v/>
      </c>
      <c r="R158" s="392">
        <f>IF(ISBLANK(Actuals!S71),IF(AND(Projects!$G$11="Yes",14&gt;=Projects!$C$11,14&lt;Projects!$C$11+Projects!$D$11),6315.79,0),Actuals!S71)</f>
        <v/>
      </c>
      <c r="S158" s="392">
        <f>IF(ISBLANK(Actuals!T71),IF(AND(Projects!$G$11="Yes",15&gt;=Projects!$C$11,15&lt;Projects!$C$11+Projects!$D$11),6315.79,0),Actuals!T71)</f>
        <v/>
      </c>
      <c r="T158" s="392">
        <f>IF(ISBLANK(Actuals!U71),IF(AND(Projects!$G$11="Yes",16&gt;=Projects!$C$11,16&lt;Projects!$C$11+Projects!$D$11),6315.79,0),Actuals!U71)</f>
        <v/>
      </c>
      <c r="U158" s="392">
        <f>IF(ISBLANK(Actuals!V71),IF(AND(Projects!$G$11="Yes",17&gt;=Projects!$C$11,17&lt;Projects!$C$11+Projects!$D$11),6315.79,0),Actuals!V71)</f>
        <v/>
      </c>
      <c r="V158" s="392">
        <f>IF(ISBLANK(Actuals!W71),IF(AND(Projects!$G$11="Yes",18&gt;=Projects!$C$11,18&lt;Projects!$C$11+Projects!$D$11),6315.79,0),Actuals!W71)</f>
        <v/>
      </c>
      <c r="W158" s="392">
        <f>IF(ISBLANK(Actuals!X71),IF(AND(Projects!$G$11="Yes",19&gt;=Projects!$C$11,19&lt;Projects!$C$11+Projects!$D$11),6315.79,0),Actuals!X71)</f>
        <v/>
      </c>
      <c r="X158" s="392">
        <f>IF(ISBLANK(Actuals!Y71),IF(AND(Projects!$G$11="Yes",20&gt;=Projects!$C$11,20&lt;Projects!$C$11+Projects!$D$11),6315.79,0),Actuals!Y71)</f>
        <v/>
      </c>
      <c r="Y158" s="392">
        <f>IF(ISBLANK(Actuals!Z71),IF(AND(Projects!$G$11="Yes",21&gt;=Projects!$C$11,21&lt;Projects!$C$11+Projects!$D$11),6315.79,0),Actuals!Z71)</f>
        <v/>
      </c>
      <c r="Z158" s="392">
        <f>IF(ISBLANK(Actuals!AA71),IF(AND(Projects!$G$11="Yes",22&gt;=Projects!$C$11,22&lt;Projects!$C$11+Projects!$D$11),6315.79,0),Actuals!AA71)</f>
        <v/>
      </c>
      <c r="AA158" s="392">
        <f>IF(ISBLANK(Actuals!AB71),IF(AND(Projects!$G$11="Yes",23&gt;=Projects!$C$11,23&lt;Projects!$C$11+Projects!$D$11),6315.79,0),Actuals!AB71)</f>
        <v/>
      </c>
      <c r="AB158" s="392">
        <f>IF(ISBLANK(Actuals!AC71),IF(AND(Projects!$G$11="Yes",24&gt;=Projects!$C$11,24&lt;Projects!$C$11+Projects!$D$11),6315.79,0),Actuals!AC71)</f>
        <v/>
      </c>
      <c r="AC158" s="392">
        <f>IF(ISBLANK(Actuals!AD71),IF(AND(Projects!$G$11="Yes",25&gt;=Projects!$C$11,25&lt;Projects!$C$11+Projects!$D$11),6315.79,0),Actuals!AD71)</f>
        <v/>
      </c>
      <c r="AD158" s="392">
        <f>IF(ISBLANK(Actuals!AE71),IF(AND(Projects!$G$11="Yes",26&gt;=Projects!$C$11,26&lt;Projects!$C$11+Projects!$D$11),6315.79,0),Actuals!AE71)</f>
        <v/>
      </c>
      <c r="AE158" s="392">
        <f>IF(ISBLANK(Actuals!AF71),IF(AND(Projects!$G$11="Yes",27&gt;=Projects!$C$11,27&lt;Projects!$C$11+Projects!$D$11),6315.79,0),Actuals!AF71)</f>
        <v/>
      </c>
      <c r="AF158" s="392">
        <f>IF(ISBLANK(Actuals!AG71),IF(AND(Projects!$G$11="Yes",28&gt;=Projects!$C$11,28&lt;Projects!$C$11+Projects!$D$11),6315.79,0),Actuals!AG71)</f>
        <v/>
      </c>
      <c r="AG158" s="392">
        <f>IF(ISBLANK(Actuals!AH71),IF(AND(Projects!$G$11="Yes",29&gt;=Projects!$C$11,29&lt;Projects!$C$11+Projects!$D$11),6315.79,0),Actuals!AH71)</f>
        <v/>
      </c>
      <c r="AH158" s="392">
        <f>IF(ISBLANK(Actuals!AI71),IF(AND(Projects!$G$11="Yes",30&gt;=Projects!$C$11,30&lt;Projects!$C$11+Projects!$D$11),6315.79,0),Actuals!AI71)</f>
        <v/>
      </c>
      <c r="AI158" s="392">
        <f>IF(ISBLANK(Actuals!AJ71),IF(AND(Projects!$G$11="Yes",31&gt;=Projects!$C$11,31&lt;Projects!$C$11+Projects!$D$11),6315.79,0),Actuals!AJ71)</f>
        <v/>
      </c>
      <c r="AJ158" s="392">
        <f>IF(ISBLANK(Actuals!AK71),IF(AND(Projects!$G$11="Yes",32&gt;=Projects!$C$11,32&lt;Projects!$C$11+Projects!$D$11),6315.79,0),Actuals!AK71)</f>
        <v/>
      </c>
      <c r="AK158" s="392">
        <f>IF(ISBLANK(Actuals!AL71),IF(AND(Projects!$G$11="Yes",33&gt;=Projects!$C$11,33&lt;Projects!$C$11+Projects!$D$11),6315.79,0),Actuals!AL71)</f>
        <v/>
      </c>
      <c r="AL158" s="392">
        <f>IF(ISBLANK(Actuals!AM71),IF(AND(Projects!$G$11="Yes",34&gt;=Projects!$C$11,34&lt;Projects!$C$11+Projects!$D$11),6315.79,0),Actuals!AM71)</f>
        <v/>
      </c>
      <c r="AM158" s="392">
        <f>IF(ISBLANK(Actuals!AN71),IF(AND(Projects!$G$11="Yes",35&gt;=Projects!$C$11,35&lt;Projects!$C$11+Projects!$D$11),6315.79,0),Actuals!AN71)</f>
        <v/>
      </c>
      <c r="AN158" s="392">
        <f>IF(ISBLANK(Actuals!AO71),IF(AND(Projects!$G$11="Yes",36&gt;=Projects!$C$11,36&lt;Projects!$C$11+Projects!$D$11),6315.79,0),Actuals!AO71)</f>
        <v/>
      </c>
      <c r="AO158" s="392">
        <f>IF(ISBLANK(Actuals!AP71),IF(AND(Projects!$G$11="Yes",37&gt;=Projects!$C$11,37&lt;Projects!$C$11+Projects!$D$11),6315.79,0),Actuals!AP71)</f>
        <v/>
      </c>
      <c r="AP158" s="392">
        <f>IF(ISBLANK(Actuals!AQ71),IF(AND(Projects!$G$11="Yes",38&gt;=Projects!$C$11,38&lt;Projects!$C$11+Projects!$D$11),6315.79,0),Actuals!AQ71)</f>
        <v/>
      </c>
      <c r="AQ158" s="392">
        <f>IF(ISBLANK(Actuals!AR71),IF(AND(Projects!$G$11="Yes",39&gt;=Projects!$C$11,39&lt;Projects!$C$11+Projects!$D$11),6315.79,0),Actuals!AR71)</f>
        <v/>
      </c>
      <c r="AR158" s="392">
        <f>IF(ISBLANK(Actuals!AS71),IF(AND(Projects!$G$11="Yes",40&gt;=Projects!$C$11,40&lt;Projects!$C$11+Projects!$D$11),6315.79,0),Actuals!AS71)</f>
        <v/>
      </c>
      <c r="AS158" s="392">
        <f>IF(ISBLANK(Actuals!AT71),IF(AND(Projects!$G$11="Yes",41&gt;=Projects!$C$11,41&lt;Projects!$C$11+Projects!$D$11),6315.79,0),Actuals!AT71)</f>
        <v/>
      </c>
      <c r="AT158" s="392">
        <f>IF(ISBLANK(Actuals!AU71),IF(AND(Projects!$G$11="Yes",42&gt;=Projects!$C$11,42&lt;Projects!$C$11+Projects!$D$11),6315.79,0),Actuals!AU71)</f>
        <v/>
      </c>
      <c r="AU158" s="392">
        <f>IF(ISBLANK(Actuals!AV71),IF(AND(Projects!$G$11="Yes",43&gt;=Projects!$C$11,43&lt;Projects!$C$11+Projects!$D$11),6315.79,0),Actuals!AV71)</f>
        <v/>
      </c>
      <c r="AV158" s="392">
        <f>IF(ISBLANK(Actuals!AW71),IF(AND(Projects!$G$11="Yes",44&gt;=Projects!$C$11,44&lt;Projects!$C$11+Projects!$D$11),6315.79,0),Actuals!AW71)</f>
        <v/>
      </c>
      <c r="AW158" s="392">
        <f>IF(ISBLANK(Actuals!AX71),IF(AND(Projects!$G$11="Yes",45&gt;=Projects!$C$11,45&lt;Projects!$C$11+Projects!$D$11),6315.79,0),Actuals!AX71)</f>
        <v/>
      </c>
      <c r="AX158" s="392">
        <f>IF(ISBLANK(Actuals!AY71),IF(AND(Projects!$G$11="Yes",46&gt;=Projects!$C$11,46&lt;Projects!$C$11+Projects!$D$11),6315.79,0),Actuals!AY71)</f>
        <v/>
      </c>
      <c r="AY158" s="392">
        <f>IF(ISBLANK(Actuals!AZ71),IF(AND(Projects!$G$11="Yes",47&gt;=Projects!$C$11,47&lt;Projects!$C$11+Projects!$D$11),6315.79,0),Actuals!AZ71)</f>
        <v/>
      </c>
      <c r="AZ158" s="392">
        <f>IF(ISBLANK(Actuals!BA71),IF(AND(Projects!$G$11="Yes",48&gt;=Projects!$C$11,48&lt;Projects!$C$11+Projects!$D$11),6315.79,0),Actuals!BA71)</f>
        <v/>
      </c>
      <c r="BA158" s="392">
        <f>IF(ISBLANK(Actuals!BB71),IF(AND(Projects!$G$11="Yes",49&gt;=Projects!$C$11,49&lt;Projects!$C$11+Projects!$D$11),6315.79,0),Actuals!BB71)</f>
        <v/>
      </c>
      <c r="BB158" s="392">
        <f>IF(ISBLANK(Actuals!BC71),IF(AND(Projects!$G$11="Yes",50&gt;=Projects!$C$11,50&lt;Projects!$C$11+Projects!$D$11),6315.79,0),Actuals!BC71)</f>
        <v/>
      </c>
      <c r="BC158" s="392">
        <f>IF(ISBLANK(Actuals!BD71),IF(AND(Projects!$G$11="Yes",51&gt;=Projects!$C$11,51&lt;Projects!$C$11+Projects!$D$11),6315.79,0),Actuals!BD71)</f>
        <v/>
      </c>
      <c r="BD158" s="392">
        <f>IF(ISBLANK(Actuals!BE71),IF(AND(Projects!$G$11="Yes",52&gt;=Projects!$C$11,52&lt;Projects!$C$11+Projects!$D$11),6315.79,0),Actuals!BE71)</f>
        <v/>
      </c>
      <c r="BE158" s="392">
        <f>IF(ISBLANK(Actuals!BF71),IF(AND(Projects!$G$11="Yes",53&gt;=Projects!$C$11,53&lt;Projects!$C$11+Projects!$D$11),6315.79,0),Actuals!BF71)</f>
        <v/>
      </c>
      <c r="BF158" s="392">
        <f>IF(ISBLANK(Actuals!BG71),IF(AND(Projects!$G$11="Yes",54&gt;=Projects!$C$11,54&lt;Projects!$C$11+Projects!$D$11),6315.79,0),Actuals!BG71)</f>
        <v/>
      </c>
      <c r="BG158" s="392">
        <f>IF(ISBLANK(Actuals!BH71),IF(AND(Projects!$G$11="Yes",55&gt;=Projects!$C$11,55&lt;Projects!$C$11+Projects!$D$11),6315.79,0),Actuals!BH71)</f>
        <v/>
      </c>
      <c r="BH158" s="392">
        <f>IF(ISBLANK(Actuals!BI71),IF(AND(Projects!$G$11="Yes",56&gt;=Projects!$C$11,56&lt;Projects!$C$11+Projects!$D$11),6315.79,0),Actuals!BI71)</f>
        <v/>
      </c>
      <c r="BI158" s="392">
        <f>IF(ISBLANK(Actuals!BJ71),IF(AND(Projects!$G$11="Yes",57&gt;=Projects!$C$11,57&lt;Projects!$C$11+Projects!$D$11),6315.79,0),Actuals!BJ71)</f>
        <v/>
      </c>
      <c r="BJ158" s="392">
        <f>IF(ISBLANK(Actuals!BK71),IF(AND(Projects!$G$11="Yes",58&gt;=Projects!$C$11,58&lt;Projects!$C$11+Projects!$D$11),6315.79,0),Actuals!BK71)</f>
        <v/>
      </c>
      <c r="BK158" s="392">
        <f>IF(ISBLANK(Actuals!BL71),IF(AND(Projects!$G$11="Yes",59&gt;=Projects!$C$11,59&lt;Projects!$C$11+Projects!$D$11),6315.79,0),Actuals!BL71)</f>
        <v/>
      </c>
      <c r="BL158" s="392">
        <f>IF(ISBLANK(Actuals!BM71),IF(AND(Projects!$G$11="Yes",60&gt;=Projects!$C$11,60&lt;Projects!$C$11+Projects!$D$11),6315.79,0),Actuals!BM71)</f>
        <v/>
      </c>
      <c r="BM158" s="392">
        <f>IF(ISBLANK(Actuals!BN71),IF(AND(Projects!$G$11="Yes",61&gt;=Projects!$C$11,61&lt;Projects!$C$11+Projects!$D$11),6315.79,0),Actuals!BN71)</f>
        <v/>
      </c>
      <c r="BN158" s="392">
        <f>IF(ISBLANK(Actuals!BO71),IF(AND(Projects!$G$11="Yes",62&gt;=Projects!$C$11,62&lt;Projects!$C$11+Projects!$D$11),6315.79,0),Actuals!BO71)</f>
        <v/>
      </c>
      <c r="BO158" s="392">
        <f>IF(ISBLANK(Actuals!BP71),IF(AND(Projects!$G$11="Yes",63&gt;=Projects!$C$11,63&lt;Projects!$C$11+Projects!$D$11),6315.79,0),Actuals!BP71)</f>
        <v/>
      </c>
      <c r="BP158" s="392">
        <f>IF(ISBLANK(Actuals!BQ71),IF(AND(Projects!$G$11="Yes",64&gt;=Projects!$C$11,64&lt;Projects!$C$11+Projects!$D$11),6315.79,0),Actuals!BQ71)</f>
        <v/>
      </c>
      <c r="BQ158" s="392">
        <f>IF(ISBLANK(Actuals!BR71),IF(AND(Projects!$G$11="Yes",65&gt;=Projects!$C$11,65&lt;Projects!$C$11+Projects!$D$11),6315.79,0),Actuals!BR71)</f>
        <v/>
      </c>
      <c r="BR158" s="392">
        <f>IF(ISBLANK(Actuals!BS71),IF(AND(Projects!$G$11="Yes",66&gt;=Projects!$C$11,66&lt;Projects!$C$11+Projects!$D$11),6315.79,0),Actuals!BS71)</f>
        <v/>
      </c>
      <c r="BS158" s="392">
        <f>IF(ISBLANK(Actuals!BT71),IF(AND(Projects!$G$11="Yes",67&gt;=Projects!$C$11,67&lt;Projects!$C$11+Projects!$D$11),6315.79,0),Actuals!BT71)</f>
        <v/>
      </c>
      <c r="BT158" s="392">
        <f>IF(ISBLANK(Actuals!BU71),IF(AND(Projects!$G$11="Yes",68&gt;=Projects!$C$11,68&lt;Projects!$C$11+Projects!$D$11),6315.79,0),Actuals!BU71)</f>
        <v/>
      </c>
      <c r="BU158" s="392">
        <f>IF(ISBLANK(Actuals!BV71),IF(AND(Projects!$G$11="Yes",69&gt;=Projects!$C$11,69&lt;Projects!$C$11+Projects!$D$11),6315.79,0),Actuals!BV71)</f>
        <v/>
      </c>
      <c r="BV158" s="392">
        <f>IF(ISBLANK(Actuals!BW71),IF(AND(Projects!$G$11="Yes",70&gt;=Projects!$C$11,70&lt;Projects!$C$11+Projects!$D$11),6315.79,0),Actuals!BW71)</f>
        <v/>
      </c>
      <c r="BW158" s="392">
        <f>IF(ISBLANK(Actuals!BX71),IF(AND(Projects!$G$11="Yes",71&gt;=Projects!$C$11,71&lt;Projects!$C$11+Projects!$D$11),6315.79,0),Actuals!BX71)</f>
        <v/>
      </c>
      <c r="BX158" s="392">
        <f>IF(ISBLANK(Actuals!BY71),IF(AND(Projects!$G$11="Yes",72&gt;=Projects!$C$11,72&lt;Projects!$C$11+Projects!$D$11),6315.79,0),Actuals!BY71)</f>
        <v/>
      </c>
      <c r="BY158" s="392">
        <f>IF(ISBLANK(Actuals!BZ71),IF(AND(Projects!$G$11="Yes",73&gt;=Projects!$C$11,73&lt;Projects!$C$11+Projects!$D$11),6315.79,0),Actuals!BZ71)</f>
        <v/>
      </c>
      <c r="BZ158" s="392">
        <f>IF(ISBLANK(Actuals!CA71),IF(AND(Projects!$G$11="Yes",74&gt;=Projects!$C$11,74&lt;Projects!$C$11+Projects!$D$11),6315.79,0),Actuals!CA71)</f>
        <v/>
      </c>
      <c r="CA158" s="392">
        <f>IF(ISBLANK(Actuals!CB71),IF(AND(Projects!$G$11="Yes",75&gt;=Projects!$C$11,75&lt;Projects!$C$11+Projects!$D$11),6315.79,0),Actuals!CB71)</f>
        <v/>
      </c>
      <c r="CB158" s="392">
        <f>IF(ISBLANK(Actuals!CC71),IF(AND(Projects!$G$11="Yes",76&gt;=Projects!$C$11,76&lt;Projects!$C$11+Projects!$D$11),6315.79,0),Actuals!CC71)</f>
        <v/>
      </c>
      <c r="CC158" s="392">
        <f>IF(ISBLANK(Actuals!CD71),IF(AND(Projects!$G$11="Yes",77&gt;=Projects!$C$11,77&lt;Projects!$C$11+Projects!$D$11),6315.79,0),Actuals!CD71)</f>
        <v/>
      </c>
      <c r="CD158" s="392">
        <f>IF(ISBLANK(Actuals!CE71),IF(AND(Projects!$G$11="Yes",78&gt;=Projects!$C$11,78&lt;Projects!$C$11+Projects!$D$11),6315.79,0),Actuals!CE71)</f>
        <v/>
      </c>
      <c r="CE158" s="392">
        <f>IF(ISBLANK(Actuals!CF71),IF(AND(Projects!$G$11="Yes",79&gt;=Projects!$C$11,79&lt;Projects!$C$11+Projects!$D$11),6315.79,0),Actuals!CF71)</f>
        <v/>
      </c>
      <c r="CF158" s="392">
        <f>IF(ISBLANK(Actuals!CG71),IF(AND(Projects!$G$11="Yes",80&gt;=Projects!$C$11,80&lt;Projects!$C$11+Projects!$D$11),6315.79,0),Actuals!CG71)</f>
        <v/>
      </c>
      <c r="CG158" s="392">
        <f>IF(ISBLANK(Actuals!CH71),IF(AND(Projects!$G$11="Yes",81&gt;=Projects!$C$11,81&lt;Projects!$C$11+Projects!$D$11),6315.79,0),Actuals!CH71)</f>
        <v/>
      </c>
      <c r="CH158" s="392">
        <f>IF(ISBLANK(Actuals!CI71),IF(AND(Projects!$G$11="Yes",82&gt;=Projects!$C$11,82&lt;Projects!$C$11+Projects!$D$11),6315.79,0),Actuals!CI71)</f>
        <v/>
      </c>
      <c r="CI158" s="392">
        <f>IF(ISBLANK(Actuals!CJ71),IF(AND(Projects!$G$11="Yes",83&gt;=Projects!$C$11,83&lt;Projects!$C$11+Projects!$D$11),6315.79,0),Actuals!CJ71)</f>
        <v/>
      </c>
      <c r="CJ158" s="392">
        <f>IF(ISBLANK(Actuals!CK71),IF(AND(Projects!$G$11="Yes",84&gt;=Projects!$C$11,84&lt;Projects!$C$11+Projects!$D$11),6315.79,0),Actuals!CK71)</f>
        <v/>
      </c>
      <c r="CK158" s="392">
        <f>IF(ISBLANK(Actuals!CL71),IF(AND(Projects!$G$11="Yes",85&gt;=Projects!$C$11,85&lt;Projects!$C$11+Projects!$D$11),6315.79,0),Actuals!CL71)</f>
        <v/>
      </c>
      <c r="CL158" s="392">
        <f>IF(ISBLANK(Actuals!CM71),IF(AND(Projects!$G$11="Yes",86&gt;=Projects!$C$11,86&lt;Projects!$C$11+Projects!$D$11),6315.79,0),Actuals!CM71)</f>
        <v/>
      </c>
      <c r="CM158" s="392">
        <f>IF(ISBLANK(Actuals!CN71),IF(AND(Projects!$G$11="Yes",87&gt;=Projects!$C$11,87&lt;Projects!$C$11+Projects!$D$11),6315.79,0),Actuals!CN71)</f>
        <v/>
      </c>
      <c r="CN158" s="392">
        <f>IF(ISBLANK(Actuals!CO71),IF(AND(Projects!$G$11="Yes",88&gt;=Projects!$C$11,88&lt;Projects!$C$11+Projects!$D$11),6315.79,0),Actuals!CO71)</f>
        <v/>
      </c>
      <c r="CO158" s="392">
        <f>IF(ISBLANK(Actuals!CP71),IF(AND(Projects!$G$11="Yes",89&gt;=Projects!$C$11,89&lt;Projects!$C$11+Projects!$D$11),6315.79,0),Actuals!CP71)</f>
        <v/>
      </c>
      <c r="CP158" s="392">
        <f>IF(ISBLANK(Actuals!CQ71),IF(AND(Projects!$G$11="Yes",90&gt;=Projects!$C$11,90&lt;Projects!$C$11+Projects!$D$11),6315.79,0),Actuals!CQ71)</f>
        <v/>
      </c>
      <c r="CQ158" s="392">
        <f>IF(ISBLANK(Actuals!CR71),IF(AND(Projects!$G$11="Yes",91&gt;=Projects!$C$11,91&lt;Projects!$C$11+Projects!$D$11),6315.79,0),Actuals!CR71)</f>
        <v/>
      </c>
      <c r="CR158" s="392">
        <f>IF(ISBLANK(Actuals!CS71),IF(AND(Projects!$G$11="Yes",92&gt;=Projects!$C$11,92&lt;Projects!$C$11+Projects!$D$11),6315.79,0),Actuals!CS71)</f>
        <v/>
      </c>
      <c r="CS158" s="392">
        <f>IF(ISBLANK(Actuals!CT71),IF(AND(Projects!$G$11="Yes",93&gt;=Projects!$C$11,93&lt;Projects!$C$11+Projects!$D$11),6315.79,0),Actuals!CT71)</f>
        <v/>
      </c>
      <c r="CT158" s="392">
        <f>IF(ISBLANK(Actuals!CU71),IF(AND(Projects!$G$11="Yes",94&gt;=Projects!$C$11,94&lt;Projects!$C$11+Projects!$D$11),6315.79,0),Actuals!CU71)</f>
        <v/>
      </c>
      <c r="CU158" s="392">
        <f>IF(ISBLANK(Actuals!CV71),IF(AND(Projects!$G$11="Yes",95&gt;=Projects!$C$11,95&lt;Projects!$C$11+Projects!$D$11),6315.79,0),Actuals!CV71)</f>
        <v/>
      </c>
      <c r="CV158" s="392">
        <f>IF(ISBLANK(Actuals!CW71),IF(AND(Projects!$G$11="Yes",96&gt;=Projects!$C$11,96&lt;Projects!$C$11+Projects!$D$11),6315.79,0),Actuals!CW71)</f>
        <v/>
      </c>
      <c r="CW158" s="392">
        <f>IF(ISBLANK(Actuals!CX71),IF(AND(Projects!$G$11="Yes",97&gt;=Projects!$C$11,97&lt;Projects!$C$11+Projects!$D$11),6315.79,0),Actuals!CX71)</f>
        <v/>
      </c>
      <c r="CX158" s="392">
        <f>IF(ISBLANK(Actuals!CY71),IF(AND(Projects!$G$11="Yes",98&gt;=Projects!$C$11,98&lt;Projects!$C$11+Projects!$D$11),6315.79,0),Actuals!CY71)</f>
        <v/>
      </c>
      <c r="CY158" s="392">
        <f>IF(ISBLANK(Actuals!CZ71),IF(AND(Projects!$G$11="Yes",99&gt;=Projects!$C$11,99&lt;Projects!$C$11+Projects!$D$11),6315.79,0),Actuals!CZ71)</f>
        <v/>
      </c>
      <c r="CZ158" s="392">
        <f>IF(ISBLANK(Actuals!DA71),IF(AND(Projects!$G$11="Yes",100&gt;=Projects!$C$11,100&lt;Projects!$C$11+Projects!$D$11),6315.79,0),Actuals!DA71)</f>
        <v/>
      </c>
      <c r="DA158" s="392">
        <f>IF(ISBLANK(Actuals!DB71),IF(AND(Projects!$G$11="Yes",101&gt;=Projects!$C$11,101&lt;Projects!$C$11+Projects!$D$11),6315.79,0),Actuals!DB71)</f>
        <v/>
      </c>
      <c r="DB158" s="392">
        <f>IF(ISBLANK(Actuals!DC71),IF(AND(Projects!$G$11="Yes",102&gt;=Projects!$C$11,102&lt;Projects!$C$11+Projects!$D$11),6315.79,0),Actuals!DC71)</f>
        <v/>
      </c>
      <c r="DC158" s="392">
        <f>IF(ISBLANK(Actuals!DD71),IF(AND(Projects!$G$11="Yes",103&gt;=Projects!$C$11,103&lt;Projects!$C$11+Projects!$D$11),6315.79,0),Actuals!DD71)</f>
        <v/>
      </c>
      <c r="DD158" s="392">
        <f>IF(ISBLANK(Actuals!DE71),IF(AND(Projects!$G$11="Yes",104&gt;=Projects!$C$11,104&lt;Projects!$C$11+Projects!$D$11),6315.79,0),Actuals!DE71)</f>
        <v/>
      </c>
      <c r="DE158" s="392">
        <f>IF(ISBLANK(Actuals!DF71),IF(AND(Projects!$G$11="Yes",105&gt;=Projects!$C$11,105&lt;Projects!$C$11+Projects!$D$11),6315.79,0),Actuals!DF71)</f>
        <v/>
      </c>
    </row>
    <row r="159" ht="15" customFormat="1" customHeight="1" s="380">
      <c r="A159" s="397" t="inlineStr">
        <is>
          <t>Klump Developer Fee</t>
        </is>
      </c>
      <c r="B159" s="392">
        <f>IF(ISBLANK(Actuals!C72),0,Actuals!C72)</f>
        <v/>
      </c>
      <c r="C159" s="392">
        <f>IF(ISBLANK(Actuals!D72),0,Actuals!D72)</f>
        <v/>
      </c>
      <c r="D159" s="392">
        <f>IF(ISBLANK(Actuals!E72),0,Actuals!E72)</f>
        <v/>
      </c>
      <c r="E159" s="392">
        <f>IF(ISBLANK(Actuals!F72),IF(AND(Projects!$G$11="Yes",1&gt;=Projects!$C$11,1&lt;Projects!$C$11+Projects!$D$11),6315.79,0),Actuals!F72)</f>
        <v/>
      </c>
      <c r="F159" s="392">
        <f>IF(ISBLANK(Actuals!G72),IF(AND(Projects!$G$11="Yes",2&gt;=Projects!$C$11,2&lt;Projects!$C$11+Projects!$D$11),6315.79,0),Actuals!G72)</f>
        <v/>
      </c>
      <c r="G159" s="392">
        <f>IF(ISBLANK(Actuals!H72),IF(AND(Projects!$G$11="Yes",3&gt;=Projects!$C$11,3&lt;Projects!$C$11+Projects!$D$11),6315.79,0),Actuals!H72)</f>
        <v/>
      </c>
      <c r="H159" s="392">
        <f>IF(ISBLANK(Actuals!I72),IF(AND(Projects!$G$11="Yes",4&gt;=Projects!$C$11,4&lt;Projects!$C$11+Projects!$D$11),6315.79,0),Actuals!I72)</f>
        <v/>
      </c>
      <c r="I159" s="392">
        <f>IF(ISBLANK(Actuals!J72),IF(AND(Projects!$G$11="Yes",5&gt;=Projects!$C$11,5&lt;Projects!$C$11+Projects!$D$11),6315.79,0),Actuals!J72)</f>
        <v/>
      </c>
      <c r="J159" s="392">
        <f>IF(ISBLANK(Actuals!K72),IF(AND(Projects!$G$11="Yes",6&gt;=Projects!$C$11,6&lt;Projects!$C$11+Projects!$D$11),6315.79,0),Actuals!K72)</f>
        <v/>
      </c>
      <c r="K159" s="392">
        <f>IF(ISBLANK(Actuals!L72),IF(AND(Projects!$G$11="Yes",7&gt;=Projects!$C$11,7&lt;Projects!$C$11+Projects!$D$11),6315.79,0),Actuals!L72)</f>
        <v/>
      </c>
      <c r="L159" s="392">
        <f>IF(ISBLANK(Actuals!M72),IF(AND(Projects!$G$11="Yes",8&gt;=Projects!$C$11,8&lt;Projects!$C$11+Projects!$D$11),6315.79,0),Actuals!M72)</f>
        <v/>
      </c>
      <c r="M159" s="392">
        <f>IF(ISBLANK(Actuals!N72),IF(AND(Projects!$G$11="Yes",9&gt;=Projects!$C$11,9&lt;Projects!$C$11+Projects!$D$11),6315.79,0),Actuals!N72)</f>
        <v/>
      </c>
      <c r="N159" s="392">
        <f>IF(ISBLANK(Actuals!O72),IF(AND(Projects!$G$11="Yes",10&gt;=Projects!$C$11,10&lt;Projects!$C$11+Projects!$D$11),6315.79,0),Actuals!O72)</f>
        <v/>
      </c>
      <c r="O159" s="392">
        <f>IF(ISBLANK(Actuals!P72),IF(AND(Projects!$G$11="Yes",11&gt;=Projects!$C$11,11&lt;Projects!$C$11+Projects!$D$11),6315.79,0),Actuals!P72)</f>
        <v/>
      </c>
      <c r="P159" s="392">
        <f>IF(ISBLANK(Actuals!Q72),IF(AND(Projects!$G$11="Yes",12&gt;=Projects!$C$11,12&lt;Projects!$C$11+Projects!$D$11),6315.79,0),Actuals!Q72)</f>
        <v/>
      </c>
      <c r="Q159" s="392">
        <f>IF(ISBLANK(Actuals!R72),IF(AND(Projects!$G$11="Yes",13&gt;=Projects!$C$11,13&lt;Projects!$C$11+Projects!$D$11),6315.79,0),Actuals!R72)</f>
        <v/>
      </c>
      <c r="R159" s="392">
        <f>IF(ISBLANK(Actuals!S72),IF(AND(Projects!$G$11="Yes",14&gt;=Projects!$C$11,14&lt;Projects!$C$11+Projects!$D$11),6315.79,0),Actuals!S72)</f>
        <v/>
      </c>
      <c r="S159" s="392">
        <f>IF(ISBLANK(Actuals!T72),IF(AND(Projects!$G$11="Yes",15&gt;=Projects!$C$11,15&lt;Projects!$C$11+Projects!$D$11),6315.79,0),Actuals!T72)</f>
        <v/>
      </c>
      <c r="T159" s="392">
        <f>IF(ISBLANK(Actuals!U72),IF(AND(Projects!$G$11="Yes",16&gt;=Projects!$C$11,16&lt;Projects!$C$11+Projects!$D$11),6315.79,0),Actuals!U72)</f>
        <v/>
      </c>
      <c r="U159" s="392">
        <f>IF(ISBLANK(Actuals!V72),IF(AND(Projects!$G$11="Yes",17&gt;=Projects!$C$11,17&lt;Projects!$C$11+Projects!$D$11),6315.79,0),Actuals!V72)</f>
        <v/>
      </c>
      <c r="V159" s="392">
        <f>IF(ISBLANK(Actuals!W72),IF(AND(Projects!$G$11="Yes",18&gt;=Projects!$C$11,18&lt;Projects!$C$11+Projects!$D$11),6315.79,0),Actuals!W72)</f>
        <v/>
      </c>
      <c r="W159" s="392">
        <f>IF(ISBLANK(Actuals!X72),IF(AND(Projects!$G$11="Yes",19&gt;=Projects!$C$11,19&lt;Projects!$C$11+Projects!$D$11),6315.79,0),Actuals!X72)</f>
        <v/>
      </c>
      <c r="X159" s="392">
        <f>IF(ISBLANK(Actuals!Y72),IF(AND(Projects!$G$11="Yes",20&gt;=Projects!$C$11,20&lt;Projects!$C$11+Projects!$D$11),6315.79,0),Actuals!Y72)</f>
        <v/>
      </c>
      <c r="Y159" s="392">
        <f>IF(ISBLANK(Actuals!Z72),IF(AND(Projects!$G$11="Yes",21&gt;=Projects!$C$11,21&lt;Projects!$C$11+Projects!$D$11),6315.79,0),Actuals!Z72)</f>
        <v/>
      </c>
      <c r="Z159" s="392">
        <f>IF(ISBLANK(Actuals!AA72),IF(AND(Projects!$G$11="Yes",22&gt;=Projects!$C$11,22&lt;Projects!$C$11+Projects!$D$11),6315.79,0),Actuals!AA72)</f>
        <v/>
      </c>
      <c r="AA159" s="392">
        <f>IF(ISBLANK(Actuals!AB72),IF(AND(Projects!$G$11="Yes",23&gt;=Projects!$C$11,23&lt;Projects!$C$11+Projects!$D$11),6315.79,0),Actuals!AB72)</f>
        <v/>
      </c>
      <c r="AB159" s="392">
        <f>IF(ISBLANK(Actuals!AC72),IF(AND(Projects!$G$11="Yes",24&gt;=Projects!$C$11,24&lt;Projects!$C$11+Projects!$D$11),6315.79,0),Actuals!AC72)</f>
        <v/>
      </c>
      <c r="AC159" s="392">
        <f>IF(ISBLANK(Actuals!AD72),IF(AND(Projects!$G$11="Yes",25&gt;=Projects!$C$11,25&lt;Projects!$C$11+Projects!$D$11),6315.79,0),Actuals!AD72)</f>
        <v/>
      </c>
      <c r="AD159" s="392">
        <f>IF(ISBLANK(Actuals!AE72),IF(AND(Projects!$G$11="Yes",26&gt;=Projects!$C$11,26&lt;Projects!$C$11+Projects!$D$11),6315.79,0),Actuals!AE72)</f>
        <v/>
      </c>
      <c r="AE159" s="392">
        <f>IF(ISBLANK(Actuals!AF72),IF(AND(Projects!$G$11="Yes",27&gt;=Projects!$C$11,27&lt;Projects!$C$11+Projects!$D$11),6315.79,0),Actuals!AF72)</f>
        <v/>
      </c>
      <c r="AF159" s="392">
        <f>IF(ISBLANK(Actuals!AG72),IF(AND(Projects!$G$11="Yes",28&gt;=Projects!$C$11,28&lt;Projects!$C$11+Projects!$D$11),6315.79,0),Actuals!AG72)</f>
        <v/>
      </c>
      <c r="AG159" s="392">
        <f>IF(ISBLANK(Actuals!AH72),IF(AND(Projects!$G$11="Yes",29&gt;=Projects!$C$11,29&lt;Projects!$C$11+Projects!$D$11),6315.79,0),Actuals!AH72)</f>
        <v/>
      </c>
      <c r="AH159" s="392">
        <f>IF(ISBLANK(Actuals!AI72),IF(AND(Projects!$G$11="Yes",30&gt;=Projects!$C$11,30&lt;Projects!$C$11+Projects!$D$11),6315.79,0),Actuals!AI72)</f>
        <v/>
      </c>
      <c r="AI159" s="392">
        <f>IF(ISBLANK(Actuals!AJ72),IF(AND(Projects!$G$11="Yes",31&gt;=Projects!$C$11,31&lt;Projects!$C$11+Projects!$D$11),6315.79,0),Actuals!AJ72)</f>
        <v/>
      </c>
      <c r="AJ159" s="392">
        <f>IF(ISBLANK(Actuals!AK72),IF(AND(Projects!$G$11="Yes",32&gt;=Projects!$C$11,32&lt;Projects!$C$11+Projects!$D$11),6315.79,0),Actuals!AK72)</f>
        <v/>
      </c>
      <c r="AK159" s="392">
        <f>IF(ISBLANK(Actuals!AL72),IF(AND(Projects!$G$11="Yes",33&gt;=Projects!$C$11,33&lt;Projects!$C$11+Projects!$D$11),6315.79,0),Actuals!AL72)</f>
        <v/>
      </c>
      <c r="AL159" s="392">
        <f>IF(ISBLANK(Actuals!AM72),IF(AND(Projects!$G$11="Yes",34&gt;=Projects!$C$11,34&lt;Projects!$C$11+Projects!$D$11),6315.79,0),Actuals!AM72)</f>
        <v/>
      </c>
      <c r="AM159" s="392">
        <f>IF(ISBLANK(Actuals!AN72),IF(AND(Projects!$G$11="Yes",35&gt;=Projects!$C$11,35&lt;Projects!$C$11+Projects!$D$11),6315.79,0),Actuals!AN72)</f>
        <v/>
      </c>
      <c r="AN159" s="392">
        <f>IF(ISBLANK(Actuals!AO72),IF(AND(Projects!$G$11="Yes",36&gt;=Projects!$C$11,36&lt;Projects!$C$11+Projects!$D$11),6315.79,0),Actuals!AO72)</f>
        <v/>
      </c>
      <c r="AO159" s="392">
        <f>IF(ISBLANK(Actuals!AP72),IF(AND(Projects!$G$11="Yes",37&gt;=Projects!$C$11,37&lt;Projects!$C$11+Projects!$D$11),6315.79,0),Actuals!AP72)</f>
        <v/>
      </c>
      <c r="AP159" s="392">
        <f>IF(ISBLANK(Actuals!AQ72),IF(AND(Projects!$G$11="Yes",38&gt;=Projects!$C$11,38&lt;Projects!$C$11+Projects!$D$11),6315.79,0),Actuals!AQ72)</f>
        <v/>
      </c>
      <c r="AQ159" s="392">
        <f>IF(ISBLANK(Actuals!AR72),IF(AND(Projects!$G$11="Yes",39&gt;=Projects!$C$11,39&lt;Projects!$C$11+Projects!$D$11),6315.79,0),Actuals!AR72)</f>
        <v/>
      </c>
      <c r="AR159" s="392">
        <f>IF(ISBLANK(Actuals!AS72),IF(AND(Projects!$G$11="Yes",40&gt;=Projects!$C$11,40&lt;Projects!$C$11+Projects!$D$11),6315.79,0),Actuals!AS72)</f>
        <v/>
      </c>
      <c r="AS159" s="392">
        <f>IF(ISBLANK(Actuals!AT72),IF(AND(Projects!$G$11="Yes",41&gt;=Projects!$C$11,41&lt;Projects!$C$11+Projects!$D$11),6315.79,0),Actuals!AT72)</f>
        <v/>
      </c>
      <c r="AT159" s="392">
        <f>IF(ISBLANK(Actuals!AU72),IF(AND(Projects!$G$11="Yes",42&gt;=Projects!$C$11,42&lt;Projects!$C$11+Projects!$D$11),6315.79,0),Actuals!AU72)</f>
        <v/>
      </c>
      <c r="AU159" s="392">
        <f>IF(ISBLANK(Actuals!AV72),IF(AND(Projects!$G$11="Yes",43&gt;=Projects!$C$11,43&lt;Projects!$C$11+Projects!$D$11),6315.79,0),Actuals!AV72)</f>
        <v/>
      </c>
      <c r="AV159" s="392">
        <f>IF(ISBLANK(Actuals!AW72),IF(AND(Projects!$G$11="Yes",44&gt;=Projects!$C$11,44&lt;Projects!$C$11+Projects!$D$11),6315.79,0),Actuals!AW72)</f>
        <v/>
      </c>
      <c r="AW159" s="392">
        <f>IF(ISBLANK(Actuals!AX72),IF(AND(Projects!$G$11="Yes",45&gt;=Projects!$C$11,45&lt;Projects!$C$11+Projects!$D$11),6315.79,0),Actuals!AX72)</f>
        <v/>
      </c>
      <c r="AX159" s="392">
        <f>IF(ISBLANK(Actuals!AY72),IF(AND(Projects!$G$11="Yes",46&gt;=Projects!$C$11,46&lt;Projects!$C$11+Projects!$D$11),6315.79,0),Actuals!AY72)</f>
        <v/>
      </c>
      <c r="AY159" s="392">
        <f>IF(ISBLANK(Actuals!AZ72),IF(AND(Projects!$G$11="Yes",47&gt;=Projects!$C$11,47&lt;Projects!$C$11+Projects!$D$11),6315.79,0),Actuals!AZ72)</f>
        <v/>
      </c>
      <c r="AZ159" s="392">
        <f>IF(ISBLANK(Actuals!BA72),IF(AND(Projects!$G$11="Yes",48&gt;=Projects!$C$11,48&lt;Projects!$C$11+Projects!$D$11),6315.79,0),Actuals!BA72)</f>
        <v/>
      </c>
      <c r="BA159" s="392">
        <f>IF(ISBLANK(Actuals!BB72),IF(AND(Projects!$G$11="Yes",49&gt;=Projects!$C$11,49&lt;Projects!$C$11+Projects!$D$11),6315.79,0),Actuals!BB72)</f>
        <v/>
      </c>
      <c r="BB159" s="392">
        <f>IF(ISBLANK(Actuals!BC72),IF(AND(Projects!$G$11="Yes",50&gt;=Projects!$C$11,50&lt;Projects!$C$11+Projects!$D$11),6315.79,0),Actuals!BC72)</f>
        <v/>
      </c>
      <c r="BC159" s="392">
        <f>IF(ISBLANK(Actuals!BD72),IF(AND(Projects!$G$11="Yes",51&gt;=Projects!$C$11,51&lt;Projects!$C$11+Projects!$D$11),6315.79,0),Actuals!BD72)</f>
        <v/>
      </c>
      <c r="BD159" s="392">
        <f>IF(ISBLANK(Actuals!BE72),IF(AND(Projects!$G$11="Yes",52&gt;=Projects!$C$11,52&lt;Projects!$C$11+Projects!$D$11),6315.79,0),Actuals!BE72)</f>
        <v/>
      </c>
      <c r="BE159" s="392">
        <f>IF(ISBLANK(Actuals!BF72),IF(AND(Projects!$G$11="Yes",53&gt;=Projects!$C$11,53&lt;Projects!$C$11+Projects!$D$11),6315.79,0),Actuals!BF72)</f>
        <v/>
      </c>
      <c r="BF159" s="392">
        <f>IF(ISBLANK(Actuals!BG72),IF(AND(Projects!$G$11="Yes",54&gt;=Projects!$C$11,54&lt;Projects!$C$11+Projects!$D$11),6315.79,0),Actuals!BG72)</f>
        <v/>
      </c>
      <c r="BG159" s="392">
        <f>IF(ISBLANK(Actuals!BH72),IF(AND(Projects!$G$11="Yes",55&gt;=Projects!$C$11,55&lt;Projects!$C$11+Projects!$D$11),6315.79,0),Actuals!BH72)</f>
        <v/>
      </c>
      <c r="BH159" s="392">
        <f>IF(ISBLANK(Actuals!BI72),IF(AND(Projects!$G$11="Yes",56&gt;=Projects!$C$11,56&lt;Projects!$C$11+Projects!$D$11),6315.79,0),Actuals!BI72)</f>
        <v/>
      </c>
      <c r="BI159" s="392">
        <f>IF(ISBLANK(Actuals!BJ72),IF(AND(Projects!$G$11="Yes",57&gt;=Projects!$C$11,57&lt;Projects!$C$11+Projects!$D$11),6315.79,0),Actuals!BJ72)</f>
        <v/>
      </c>
      <c r="BJ159" s="392">
        <f>IF(ISBLANK(Actuals!BK72),IF(AND(Projects!$G$11="Yes",58&gt;=Projects!$C$11,58&lt;Projects!$C$11+Projects!$D$11),6315.79,0),Actuals!BK72)</f>
        <v/>
      </c>
      <c r="BK159" s="392">
        <f>IF(ISBLANK(Actuals!BL72),IF(AND(Projects!$G$11="Yes",59&gt;=Projects!$C$11,59&lt;Projects!$C$11+Projects!$D$11),6315.79,0),Actuals!BL72)</f>
        <v/>
      </c>
      <c r="BL159" s="392">
        <f>IF(ISBLANK(Actuals!BM72),IF(AND(Projects!$G$11="Yes",60&gt;=Projects!$C$11,60&lt;Projects!$C$11+Projects!$D$11),6315.79,0),Actuals!BM72)</f>
        <v/>
      </c>
      <c r="BM159" s="392">
        <f>IF(ISBLANK(Actuals!BN72),IF(AND(Projects!$G$11="Yes",61&gt;=Projects!$C$11,61&lt;Projects!$C$11+Projects!$D$11),6315.79,0),Actuals!BN72)</f>
        <v/>
      </c>
      <c r="BN159" s="392">
        <f>IF(ISBLANK(Actuals!BO72),IF(AND(Projects!$G$11="Yes",62&gt;=Projects!$C$11,62&lt;Projects!$C$11+Projects!$D$11),6315.79,0),Actuals!BO72)</f>
        <v/>
      </c>
      <c r="BO159" s="392">
        <f>IF(ISBLANK(Actuals!BP72),IF(AND(Projects!$G$11="Yes",63&gt;=Projects!$C$11,63&lt;Projects!$C$11+Projects!$D$11),6315.79,0),Actuals!BP72)</f>
        <v/>
      </c>
      <c r="BP159" s="392">
        <f>IF(ISBLANK(Actuals!BQ72),IF(AND(Projects!$G$11="Yes",64&gt;=Projects!$C$11,64&lt;Projects!$C$11+Projects!$D$11),6315.79,0),Actuals!BQ72)</f>
        <v/>
      </c>
      <c r="BQ159" s="392">
        <f>IF(ISBLANK(Actuals!BR72),IF(AND(Projects!$G$11="Yes",65&gt;=Projects!$C$11,65&lt;Projects!$C$11+Projects!$D$11),6315.79,0),Actuals!BR72)</f>
        <v/>
      </c>
      <c r="BR159" s="392">
        <f>IF(ISBLANK(Actuals!BS72),IF(AND(Projects!$G$11="Yes",66&gt;=Projects!$C$11,66&lt;Projects!$C$11+Projects!$D$11),6315.79,0),Actuals!BS72)</f>
        <v/>
      </c>
      <c r="BS159" s="392">
        <f>IF(ISBLANK(Actuals!BT72),IF(AND(Projects!$G$11="Yes",67&gt;=Projects!$C$11,67&lt;Projects!$C$11+Projects!$D$11),6315.79,0),Actuals!BT72)</f>
        <v/>
      </c>
      <c r="BT159" s="392">
        <f>IF(ISBLANK(Actuals!BU72),IF(AND(Projects!$G$11="Yes",68&gt;=Projects!$C$11,68&lt;Projects!$C$11+Projects!$D$11),6315.79,0),Actuals!BU72)</f>
        <v/>
      </c>
      <c r="BU159" s="392">
        <f>IF(ISBLANK(Actuals!BV72),IF(AND(Projects!$G$11="Yes",69&gt;=Projects!$C$11,69&lt;Projects!$C$11+Projects!$D$11),6315.79,0),Actuals!BV72)</f>
        <v/>
      </c>
      <c r="BV159" s="392">
        <f>IF(ISBLANK(Actuals!BW72),IF(AND(Projects!$G$11="Yes",70&gt;=Projects!$C$11,70&lt;Projects!$C$11+Projects!$D$11),6315.79,0),Actuals!BW72)</f>
        <v/>
      </c>
      <c r="BW159" s="392">
        <f>IF(ISBLANK(Actuals!BX72),IF(AND(Projects!$G$11="Yes",71&gt;=Projects!$C$11,71&lt;Projects!$C$11+Projects!$D$11),6315.79,0),Actuals!BX72)</f>
        <v/>
      </c>
      <c r="BX159" s="392">
        <f>IF(ISBLANK(Actuals!BY72),IF(AND(Projects!$G$11="Yes",72&gt;=Projects!$C$11,72&lt;Projects!$C$11+Projects!$D$11),6315.79,0),Actuals!BY72)</f>
        <v/>
      </c>
      <c r="BY159" s="392">
        <f>IF(ISBLANK(Actuals!BZ72),IF(AND(Projects!$G$11="Yes",73&gt;=Projects!$C$11,73&lt;Projects!$C$11+Projects!$D$11),6315.79,0),Actuals!BZ72)</f>
        <v/>
      </c>
      <c r="BZ159" s="392">
        <f>IF(ISBLANK(Actuals!CA72),IF(AND(Projects!$G$11="Yes",74&gt;=Projects!$C$11,74&lt;Projects!$C$11+Projects!$D$11),6315.79,0),Actuals!CA72)</f>
        <v/>
      </c>
      <c r="CA159" s="392">
        <f>IF(ISBLANK(Actuals!CB72),IF(AND(Projects!$G$11="Yes",75&gt;=Projects!$C$11,75&lt;Projects!$C$11+Projects!$D$11),6315.79,0),Actuals!CB72)</f>
        <v/>
      </c>
      <c r="CB159" s="392">
        <f>IF(ISBLANK(Actuals!CC72),IF(AND(Projects!$G$11="Yes",76&gt;=Projects!$C$11,76&lt;Projects!$C$11+Projects!$D$11),6315.79,0),Actuals!CC72)</f>
        <v/>
      </c>
      <c r="CC159" s="392">
        <f>IF(ISBLANK(Actuals!CD72),IF(AND(Projects!$G$11="Yes",77&gt;=Projects!$C$11,77&lt;Projects!$C$11+Projects!$D$11),6315.79,0),Actuals!CD72)</f>
        <v/>
      </c>
      <c r="CD159" s="392">
        <f>IF(ISBLANK(Actuals!CE72),IF(AND(Projects!$G$11="Yes",78&gt;=Projects!$C$11,78&lt;Projects!$C$11+Projects!$D$11),6315.79,0),Actuals!CE72)</f>
        <v/>
      </c>
      <c r="CE159" s="392">
        <f>IF(ISBLANK(Actuals!CF72),IF(AND(Projects!$G$11="Yes",79&gt;=Projects!$C$11,79&lt;Projects!$C$11+Projects!$D$11),6315.79,0),Actuals!CF72)</f>
        <v/>
      </c>
      <c r="CF159" s="392">
        <f>IF(ISBLANK(Actuals!CG72),IF(AND(Projects!$G$11="Yes",80&gt;=Projects!$C$11,80&lt;Projects!$C$11+Projects!$D$11),6315.79,0),Actuals!CG72)</f>
        <v/>
      </c>
      <c r="CG159" s="392">
        <f>IF(ISBLANK(Actuals!CH72),IF(AND(Projects!$G$11="Yes",81&gt;=Projects!$C$11,81&lt;Projects!$C$11+Projects!$D$11),6315.79,0),Actuals!CH72)</f>
        <v/>
      </c>
      <c r="CH159" s="392">
        <f>IF(ISBLANK(Actuals!CI72),IF(AND(Projects!$G$11="Yes",82&gt;=Projects!$C$11,82&lt;Projects!$C$11+Projects!$D$11),6315.79,0),Actuals!CI72)</f>
        <v/>
      </c>
      <c r="CI159" s="392">
        <f>IF(ISBLANK(Actuals!CJ72),IF(AND(Projects!$G$11="Yes",83&gt;=Projects!$C$11,83&lt;Projects!$C$11+Projects!$D$11),6315.79,0),Actuals!CJ72)</f>
        <v/>
      </c>
      <c r="CJ159" s="392">
        <f>IF(ISBLANK(Actuals!CK72),IF(AND(Projects!$G$11="Yes",84&gt;=Projects!$C$11,84&lt;Projects!$C$11+Projects!$D$11),6315.79,0),Actuals!CK72)</f>
        <v/>
      </c>
      <c r="CK159" s="392">
        <f>IF(ISBLANK(Actuals!CL72),IF(AND(Projects!$G$11="Yes",85&gt;=Projects!$C$11,85&lt;Projects!$C$11+Projects!$D$11),6315.79,0),Actuals!CL72)</f>
        <v/>
      </c>
      <c r="CL159" s="392">
        <f>IF(ISBLANK(Actuals!CM72),IF(AND(Projects!$G$11="Yes",86&gt;=Projects!$C$11,86&lt;Projects!$C$11+Projects!$D$11),6315.79,0),Actuals!CM72)</f>
        <v/>
      </c>
      <c r="CM159" s="392">
        <f>IF(ISBLANK(Actuals!CN72),IF(AND(Projects!$G$11="Yes",87&gt;=Projects!$C$11,87&lt;Projects!$C$11+Projects!$D$11),6315.79,0),Actuals!CN72)</f>
        <v/>
      </c>
      <c r="CN159" s="392">
        <f>IF(ISBLANK(Actuals!CO72),IF(AND(Projects!$G$11="Yes",88&gt;=Projects!$C$11,88&lt;Projects!$C$11+Projects!$D$11),6315.79,0),Actuals!CO72)</f>
        <v/>
      </c>
      <c r="CO159" s="392">
        <f>IF(ISBLANK(Actuals!CP72),IF(AND(Projects!$G$11="Yes",89&gt;=Projects!$C$11,89&lt;Projects!$C$11+Projects!$D$11),6315.79,0),Actuals!CP72)</f>
        <v/>
      </c>
      <c r="CP159" s="392">
        <f>IF(ISBLANK(Actuals!CQ72),IF(AND(Projects!$G$11="Yes",90&gt;=Projects!$C$11,90&lt;Projects!$C$11+Projects!$D$11),6315.79,0),Actuals!CQ72)</f>
        <v/>
      </c>
      <c r="CQ159" s="392">
        <f>IF(ISBLANK(Actuals!CR72),IF(AND(Projects!$G$11="Yes",91&gt;=Projects!$C$11,91&lt;Projects!$C$11+Projects!$D$11),6315.79,0),Actuals!CR72)</f>
        <v/>
      </c>
      <c r="CR159" s="392">
        <f>IF(ISBLANK(Actuals!CS72),IF(AND(Projects!$G$11="Yes",92&gt;=Projects!$C$11,92&lt;Projects!$C$11+Projects!$D$11),6315.79,0),Actuals!CS72)</f>
        <v/>
      </c>
      <c r="CS159" s="392">
        <f>IF(ISBLANK(Actuals!CT72),IF(AND(Projects!$G$11="Yes",93&gt;=Projects!$C$11,93&lt;Projects!$C$11+Projects!$D$11),6315.79,0),Actuals!CT72)</f>
        <v/>
      </c>
      <c r="CT159" s="392">
        <f>IF(ISBLANK(Actuals!CU72),IF(AND(Projects!$G$11="Yes",94&gt;=Projects!$C$11,94&lt;Projects!$C$11+Projects!$D$11),6315.79,0),Actuals!CU72)</f>
        <v/>
      </c>
      <c r="CU159" s="392">
        <f>IF(ISBLANK(Actuals!CV72),IF(AND(Projects!$G$11="Yes",95&gt;=Projects!$C$11,95&lt;Projects!$C$11+Projects!$D$11),6315.79,0),Actuals!CV72)</f>
        <v/>
      </c>
      <c r="CV159" s="392">
        <f>IF(ISBLANK(Actuals!CW72),IF(AND(Projects!$G$11="Yes",96&gt;=Projects!$C$11,96&lt;Projects!$C$11+Projects!$D$11),6315.79,0),Actuals!CW72)</f>
        <v/>
      </c>
      <c r="CW159" s="392">
        <f>IF(ISBLANK(Actuals!CX72),IF(AND(Projects!$G$11="Yes",97&gt;=Projects!$C$11,97&lt;Projects!$C$11+Projects!$D$11),6315.79,0),Actuals!CX72)</f>
        <v/>
      </c>
      <c r="CX159" s="392">
        <f>IF(ISBLANK(Actuals!CY72),IF(AND(Projects!$G$11="Yes",98&gt;=Projects!$C$11,98&lt;Projects!$C$11+Projects!$D$11),6315.79,0),Actuals!CY72)</f>
        <v/>
      </c>
      <c r="CY159" s="392">
        <f>IF(ISBLANK(Actuals!CZ72),IF(AND(Projects!$G$11="Yes",99&gt;=Projects!$C$11,99&lt;Projects!$C$11+Projects!$D$11),6315.79,0),Actuals!CZ72)</f>
        <v/>
      </c>
      <c r="CZ159" s="392">
        <f>IF(ISBLANK(Actuals!DA72),IF(AND(Projects!$G$11="Yes",100&gt;=Projects!$C$11,100&lt;Projects!$C$11+Projects!$D$11),6315.79,0),Actuals!DA72)</f>
        <v/>
      </c>
      <c r="DA159" s="392">
        <f>IF(ISBLANK(Actuals!DB72),IF(AND(Projects!$G$11="Yes",101&gt;=Projects!$C$11,101&lt;Projects!$C$11+Projects!$D$11),6315.79,0),Actuals!DB72)</f>
        <v/>
      </c>
      <c r="DB159" s="392">
        <f>IF(ISBLANK(Actuals!DC72),IF(AND(Projects!$G$11="Yes",102&gt;=Projects!$C$11,102&lt;Projects!$C$11+Projects!$D$11),6315.79,0),Actuals!DC72)</f>
        <v/>
      </c>
      <c r="DC159" s="392">
        <f>IF(ISBLANK(Actuals!DD72),IF(AND(Projects!$G$11="Yes",103&gt;=Projects!$C$11,103&lt;Projects!$C$11+Projects!$D$11),6315.79,0),Actuals!DD72)</f>
        <v/>
      </c>
      <c r="DD159" s="392">
        <f>IF(ISBLANK(Actuals!DE72),IF(AND(Projects!$G$11="Yes",104&gt;=Projects!$C$11,104&lt;Projects!$C$11+Projects!$D$11),6315.79,0),Actuals!DE72)</f>
        <v/>
      </c>
      <c r="DE159" s="392">
        <f>IF(ISBLANK(Actuals!DF72),IF(AND(Projects!$G$11="Yes",105&gt;=Projects!$C$11,105&lt;Projects!$C$11+Projects!$D$11),6315.79,0),Actuals!DF72)</f>
        <v/>
      </c>
    </row>
    <row r="160" ht="15" customFormat="1" customHeight="1" s="380">
      <c r="A160" s="397" t="inlineStr">
        <is>
          <t>Klump Guarantee Fee</t>
        </is>
      </c>
      <c r="B160" s="392">
        <f>IF(ISBLANK(Actuals!C73),IF(AND(Projects!$G$11="Yes",-2=Projects!$C$11),253980,0),Actuals!C73)</f>
        <v/>
      </c>
      <c r="C160" s="392">
        <f>IF(ISBLANK(Actuals!D73),IF(AND(Projects!$G$11="Yes",-1=Projects!$C$11),253980,0),Actuals!D73)</f>
        <v/>
      </c>
      <c r="D160" s="392">
        <f>IF(ISBLANK(Actuals!E73),IF(AND(Projects!$G$11="Yes",0=Projects!$C$11),253980,0),Actuals!E73)</f>
        <v/>
      </c>
      <c r="E160" s="392">
        <f>IF(ISBLANK(Actuals!F73),IF(AND(Projects!$G$11="Yes",1=Projects!$C$11),253980,0),Actuals!F73)</f>
        <v/>
      </c>
      <c r="F160" s="392">
        <f>IF(ISBLANK(Actuals!G73),IF(AND(Projects!$G$11="Yes",2=Projects!$C$11),253980,0),Actuals!G73)</f>
        <v/>
      </c>
      <c r="G160" s="392">
        <f>IF(ISBLANK(Actuals!H73),IF(AND(Projects!$G$11="Yes",3=Projects!$C$11),253980,0),Actuals!H73)</f>
        <v/>
      </c>
      <c r="H160" s="392">
        <f>IF(ISBLANK(Actuals!I73),IF(AND(Projects!$G$11="Yes",4=Projects!$C$11),253980,0),Actuals!I73)</f>
        <v/>
      </c>
      <c r="I160" s="392">
        <f>IF(ISBLANK(Actuals!J73),IF(AND(Projects!$G$11="Yes",5=Projects!$C$11),253980,0),Actuals!J73)</f>
        <v/>
      </c>
      <c r="J160" s="392">
        <f>IF(ISBLANK(Actuals!K73),IF(AND(Projects!$G$11="Yes",6=Projects!$C$11),253980,0),Actuals!K73)</f>
        <v/>
      </c>
      <c r="K160" s="392">
        <f>IF(ISBLANK(Actuals!L73),IF(AND(Projects!$G$11="Yes",7=Projects!$C$11),253980,0),Actuals!L73)</f>
        <v/>
      </c>
      <c r="L160" s="392">
        <f>IF(ISBLANK(Actuals!M73),IF(AND(Projects!$G$11="Yes",8=Projects!$C$11),253980,0),Actuals!M73)</f>
        <v/>
      </c>
      <c r="M160" s="392">
        <f>IF(ISBLANK(Actuals!N73),IF(AND(Projects!$G$11="Yes",9=Projects!$C$11),253980,0),Actuals!N73)</f>
        <v/>
      </c>
      <c r="N160" s="392">
        <f>IF(ISBLANK(Actuals!O73),IF(AND(Projects!$G$11="Yes",10=Projects!$C$11),253980,0),Actuals!O73)</f>
        <v/>
      </c>
      <c r="O160" s="392">
        <f>IF(ISBLANK(Actuals!P73),IF(AND(Projects!$G$11="Yes",11=Projects!$C$11),253980,0),Actuals!P73)</f>
        <v/>
      </c>
      <c r="P160" s="392">
        <f>IF(ISBLANK(Actuals!Q73),IF(AND(Projects!$G$11="Yes",12=Projects!$C$11),253980,0),Actuals!Q73)</f>
        <v/>
      </c>
      <c r="Q160" s="392">
        <f>IF(ISBLANK(Actuals!R73),IF(AND(Projects!$G$11="Yes",13=Projects!$C$11),253980,0),Actuals!R73)</f>
        <v/>
      </c>
      <c r="R160" s="392">
        <f>IF(ISBLANK(Actuals!S73),IF(AND(Projects!$G$11="Yes",14=Projects!$C$11),253980,0),Actuals!S73)</f>
        <v/>
      </c>
      <c r="S160" s="392">
        <f>IF(ISBLANK(Actuals!T73),IF(AND(Projects!$G$11="Yes",15=Projects!$C$11),253980,0),Actuals!T73)</f>
        <v/>
      </c>
      <c r="T160" s="392">
        <f>IF(ISBLANK(Actuals!U73),IF(AND(Projects!$G$11="Yes",16=Projects!$C$11),253980,0),Actuals!U73)</f>
        <v/>
      </c>
      <c r="U160" s="392">
        <f>IF(ISBLANK(Actuals!V73),IF(AND(Projects!$G$11="Yes",17=Projects!$C$11),253980,0),Actuals!V73)</f>
        <v/>
      </c>
      <c r="V160" s="392">
        <f>IF(ISBLANK(Actuals!W73),IF(AND(Projects!$G$11="Yes",18=Projects!$C$11),253980,0),Actuals!W73)</f>
        <v/>
      </c>
      <c r="W160" s="392">
        <f>IF(ISBLANK(Actuals!X73),IF(AND(Projects!$G$11="Yes",19=Projects!$C$11),253980,0),Actuals!X73)</f>
        <v/>
      </c>
      <c r="X160" s="392">
        <f>IF(ISBLANK(Actuals!Y73),IF(AND(Projects!$G$11="Yes",20=Projects!$C$11),253980,0),Actuals!Y73)</f>
        <v/>
      </c>
      <c r="Y160" s="392">
        <f>IF(ISBLANK(Actuals!Z73),IF(AND(Projects!$G$11="Yes",21=Projects!$C$11),253980,0),Actuals!Z73)</f>
        <v/>
      </c>
      <c r="Z160" s="392">
        <f>IF(ISBLANK(Actuals!AA73),IF(AND(Projects!$G$11="Yes",22=Projects!$C$11),253980,0),Actuals!AA73)</f>
        <v/>
      </c>
      <c r="AA160" s="392">
        <f>IF(ISBLANK(Actuals!AB73),IF(AND(Projects!$G$11="Yes",23=Projects!$C$11),253980,0),Actuals!AB73)</f>
        <v/>
      </c>
      <c r="AB160" s="392">
        <f>IF(ISBLANK(Actuals!AC73),IF(AND(Projects!$G$11="Yes",24=Projects!$C$11),253980,0),Actuals!AC73)</f>
        <v/>
      </c>
      <c r="AC160" s="392">
        <f>IF(ISBLANK(Actuals!AD73),IF(AND(Projects!$G$11="Yes",25=Projects!$C$11),253980,0),Actuals!AD73)</f>
        <v/>
      </c>
      <c r="AD160" s="392">
        <f>IF(ISBLANK(Actuals!AE73),IF(AND(Projects!$G$11="Yes",26=Projects!$C$11),253980,0),Actuals!AE73)</f>
        <v/>
      </c>
      <c r="AE160" s="392">
        <f>IF(ISBLANK(Actuals!AF73),IF(AND(Projects!$G$11="Yes",27=Projects!$C$11),253980,0),Actuals!AF73)</f>
        <v/>
      </c>
      <c r="AF160" s="392">
        <f>IF(ISBLANK(Actuals!AG73),IF(AND(Projects!$G$11="Yes",28=Projects!$C$11),253980,0),Actuals!AG73)</f>
        <v/>
      </c>
      <c r="AG160" s="392">
        <f>IF(ISBLANK(Actuals!AH73),IF(AND(Projects!$G$11="Yes",29=Projects!$C$11),253980,0),Actuals!AH73)</f>
        <v/>
      </c>
      <c r="AH160" s="392">
        <f>IF(ISBLANK(Actuals!AI73),IF(AND(Projects!$G$11="Yes",30=Projects!$C$11),253980,0),Actuals!AI73)</f>
        <v/>
      </c>
      <c r="AI160" s="392">
        <f>IF(ISBLANK(Actuals!AJ73),IF(AND(Projects!$G$11="Yes",31=Projects!$C$11),253980,0),Actuals!AJ73)</f>
        <v/>
      </c>
      <c r="AJ160" s="392">
        <f>IF(ISBLANK(Actuals!AK73),IF(AND(Projects!$G$11="Yes",32=Projects!$C$11),253980,0),Actuals!AK73)</f>
        <v/>
      </c>
      <c r="AK160" s="392">
        <f>IF(ISBLANK(Actuals!AL73),IF(AND(Projects!$G$11="Yes",33=Projects!$C$11),253980,0),Actuals!AL73)</f>
        <v/>
      </c>
      <c r="AL160" s="392">
        <f>IF(ISBLANK(Actuals!AM73),IF(AND(Projects!$G$11="Yes",34=Projects!$C$11),253980,0),Actuals!AM73)</f>
        <v/>
      </c>
      <c r="AM160" s="392">
        <f>IF(ISBLANK(Actuals!AN73),IF(AND(Projects!$G$11="Yes",35=Projects!$C$11),253980,0),Actuals!AN73)</f>
        <v/>
      </c>
      <c r="AN160" s="392">
        <f>IF(ISBLANK(Actuals!AO73),IF(AND(Projects!$G$11="Yes",36=Projects!$C$11),253980,0),Actuals!AO73)</f>
        <v/>
      </c>
      <c r="AO160" s="392">
        <f>IF(ISBLANK(Actuals!AP73),IF(AND(Projects!$G$11="Yes",37=Projects!$C$11),253980,0),Actuals!AP73)</f>
        <v/>
      </c>
      <c r="AP160" s="392">
        <f>IF(ISBLANK(Actuals!AQ73),IF(AND(Projects!$G$11="Yes",38=Projects!$C$11),253980,0),Actuals!AQ73)</f>
        <v/>
      </c>
      <c r="AQ160" s="392">
        <f>IF(ISBLANK(Actuals!AR73),IF(AND(Projects!$G$11="Yes",39=Projects!$C$11),253980,0),Actuals!AR73)</f>
        <v/>
      </c>
      <c r="AR160" s="392">
        <f>IF(ISBLANK(Actuals!AS73),IF(AND(Projects!$G$11="Yes",40=Projects!$C$11),253980,0),Actuals!AS73)</f>
        <v/>
      </c>
      <c r="AS160" s="392">
        <f>IF(ISBLANK(Actuals!AT73),IF(AND(Projects!$G$11="Yes",41=Projects!$C$11),253980,0),Actuals!AT73)</f>
        <v/>
      </c>
      <c r="AT160" s="392">
        <f>IF(ISBLANK(Actuals!AU73),IF(AND(Projects!$G$11="Yes",42=Projects!$C$11),253980,0),Actuals!AU73)</f>
        <v/>
      </c>
      <c r="AU160" s="392">
        <f>IF(ISBLANK(Actuals!AV73),IF(AND(Projects!$G$11="Yes",43=Projects!$C$11),253980,0),Actuals!AV73)</f>
        <v/>
      </c>
      <c r="AV160" s="392">
        <f>IF(ISBLANK(Actuals!AW73),IF(AND(Projects!$G$11="Yes",44=Projects!$C$11),253980,0),Actuals!AW73)</f>
        <v/>
      </c>
      <c r="AW160" s="392">
        <f>IF(ISBLANK(Actuals!AX73),IF(AND(Projects!$G$11="Yes",45=Projects!$C$11),253980,0),Actuals!AX73)</f>
        <v/>
      </c>
      <c r="AX160" s="392">
        <f>IF(ISBLANK(Actuals!AY73),IF(AND(Projects!$G$11="Yes",46=Projects!$C$11),253980,0),Actuals!AY73)</f>
        <v/>
      </c>
      <c r="AY160" s="392">
        <f>IF(ISBLANK(Actuals!AZ73),IF(AND(Projects!$G$11="Yes",47=Projects!$C$11),253980,0),Actuals!AZ73)</f>
        <v/>
      </c>
      <c r="AZ160" s="392">
        <f>IF(ISBLANK(Actuals!BA73),IF(AND(Projects!$G$11="Yes",48=Projects!$C$11),253980,0),Actuals!BA73)</f>
        <v/>
      </c>
      <c r="BA160" s="392">
        <f>IF(ISBLANK(Actuals!BB73),IF(AND(Projects!$G$11="Yes",49=Projects!$C$11),253980,0),Actuals!BB73)</f>
        <v/>
      </c>
      <c r="BB160" s="392">
        <f>IF(ISBLANK(Actuals!BC73),IF(AND(Projects!$G$11="Yes",50=Projects!$C$11),253980,0),Actuals!BC73)</f>
        <v/>
      </c>
      <c r="BC160" s="392">
        <f>IF(ISBLANK(Actuals!BD73),IF(AND(Projects!$G$11="Yes",51=Projects!$C$11),253980,0),Actuals!BD73)</f>
        <v/>
      </c>
      <c r="BD160" s="392">
        <f>IF(ISBLANK(Actuals!BE73),IF(AND(Projects!$G$11="Yes",52=Projects!$C$11),253980,0),Actuals!BE73)</f>
        <v/>
      </c>
      <c r="BE160" s="392">
        <f>IF(ISBLANK(Actuals!BF73),IF(AND(Projects!$G$11="Yes",53=Projects!$C$11),253980,0),Actuals!BF73)</f>
        <v/>
      </c>
      <c r="BF160" s="392">
        <f>IF(ISBLANK(Actuals!BG73),IF(AND(Projects!$G$11="Yes",54=Projects!$C$11),253980,0),Actuals!BG73)</f>
        <v/>
      </c>
      <c r="BG160" s="392">
        <f>IF(ISBLANK(Actuals!BH73),IF(AND(Projects!$G$11="Yes",55=Projects!$C$11),253980,0),Actuals!BH73)</f>
        <v/>
      </c>
      <c r="BH160" s="392">
        <f>IF(ISBLANK(Actuals!BI73),IF(AND(Projects!$G$11="Yes",56=Projects!$C$11),253980,0),Actuals!BI73)</f>
        <v/>
      </c>
      <c r="BI160" s="392">
        <f>IF(ISBLANK(Actuals!BJ73),IF(AND(Projects!$G$11="Yes",57=Projects!$C$11),253980,0),Actuals!BJ73)</f>
        <v/>
      </c>
      <c r="BJ160" s="392">
        <f>IF(ISBLANK(Actuals!BK73),IF(AND(Projects!$G$11="Yes",58=Projects!$C$11),253980,0),Actuals!BK73)</f>
        <v/>
      </c>
      <c r="BK160" s="392">
        <f>IF(ISBLANK(Actuals!BL73),IF(AND(Projects!$G$11="Yes",59=Projects!$C$11),253980,0),Actuals!BL73)</f>
        <v/>
      </c>
      <c r="BL160" s="392">
        <f>IF(ISBLANK(Actuals!BM73),IF(AND(Projects!$G$11="Yes",60=Projects!$C$11),253980,0),Actuals!BM73)</f>
        <v/>
      </c>
      <c r="BM160" s="392">
        <f>IF(ISBLANK(Actuals!BN73),IF(AND(Projects!$G$11="Yes",61=Projects!$C$11),253980,0),Actuals!BN73)</f>
        <v/>
      </c>
      <c r="BN160" s="392">
        <f>IF(ISBLANK(Actuals!BO73),IF(AND(Projects!$G$11="Yes",62=Projects!$C$11),253980,0),Actuals!BO73)</f>
        <v/>
      </c>
      <c r="BO160" s="392">
        <f>IF(ISBLANK(Actuals!BP73),IF(AND(Projects!$G$11="Yes",63=Projects!$C$11),253980,0),Actuals!BP73)</f>
        <v/>
      </c>
      <c r="BP160" s="392">
        <f>IF(ISBLANK(Actuals!BQ73),IF(AND(Projects!$G$11="Yes",64=Projects!$C$11),253980,0),Actuals!BQ73)</f>
        <v/>
      </c>
      <c r="BQ160" s="392">
        <f>IF(ISBLANK(Actuals!BR73),IF(AND(Projects!$G$11="Yes",65=Projects!$C$11),253980,0),Actuals!BR73)</f>
        <v/>
      </c>
      <c r="BR160" s="392">
        <f>IF(ISBLANK(Actuals!BS73),IF(AND(Projects!$G$11="Yes",66=Projects!$C$11),253980,0),Actuals!BS73)</f>
        <v/>
      </c>
      <c r="BS160" s="392">
        <f>IF(ISBLANK(Actuals!BT73),IF(AND(Projects!$G$11="Yes",67=Projects!$C$11),253980,0),Actuals!BT73)</f>
        <v/>
      </c>
      <c r="BT160" s="392">
        <f>IF(ISBLANK(Actuals!BU73),IF(AND(Projects!$G$11="Yes",68=Projects!$C$11),253980,0),Actuals!BU73)</f>
        <v/>
      </c>
      <c r="BU160" s="392">
        <f>IF(ISBLANK(Actuals!BV73),IF(AND(Projects!$G$11="Yes",69=Projects!$C$11),253980,0),Actuals!BV73)</f>
        <v/>
      </c>
      <c r="BV160" s="392">
        <f>IF(ISBLANK(Actuals!BW73),IF(AND(Projects!$G$11="Yes",70=Projects!$C$11),253980,0),Actuals!BW73)</f>
        <v/>
      </c>
      <c r="BW160" s="392">
        <f>IF(ISBLANK(Actuals!BX73),IF(AND(Projects!$G$11="Yes",71=Projects!$C$11),253980,0),Actuals!BX73)</f>
        <v/>
      </c>
      <c r="BX160" s="392">
        <f>IF(ISBLANK(Actuals!BY73),IF(AND(Projects!$G$11="Yes",72=Projects!$C$11),253980,0),Actuals!BY73)</f>
        <v/>
      </c>
      <c r="BY160" s="392">
        <f>IF(ISBLANK(Actuals!BZ73),IF(AND(Projects!$G$11="Yes",73=Projects!$C$11),253980,0),Actuals!BZ73)</f>
        <v/>
      </c>
      <c r="BZ160" s="392">
        <f>IF(ISBLANK(Actuals!CA73),IF(AND(Projects!$G$11="Yes",74=Projects!$C$11),253980,0),Actuals!CA73)</f>
        <v/>
      </c>
      <c r="CA160" s="392">
        <f>IF(ISBLANK(Actuals!CB73),IF(AND(Projects!$G$11="Yes",75=Projects!$C$11),253980,0),Actuals!CB73)</f>
        <v/>
      </c>
      <c r="CB160" s="392">
        <f>IF(ISBLANK(Actuals!CC73),IF(AND(Projects!$G$11="Yes",76=Projects!$C$11),253980,0),Actuals!CC73)</f>
        <v/>
      </c>
      <c r="CC160" s="392">
        <f>IF(ISBLANK(Actuals!CD73),IF(AND(Projects!$G$11="Yes",77=Projects!$C$11),253980,0),Actuals!CD73)</f>
        <v/>
      </c>
      <c r="CD160" s="392">
        <f>IF(ISBLANK(Actuals!CE73),IF(AND(Projects!$G$11="Yes",78=Projects!$C$11),253980,0),Actuals!CE73)</f>
        <v/>
      </c>
      <c r="CE160" s="392">
        <f>IF(ISBLANK(Actuals!CF73),IF(AND(Projects!$G$11="Yes",79=Projects!$C$11),253980,0),Actuals!CF73)</f>
        <v/>
      </c>
      <c r="CF160" s="392">
        <f>IF(ISBLANK(Actuals!CG73),IF(AND(Projects!$G$11="Yes",80=Projects!$C$11),253980,0),Actuals!CG73)</f>
        <v/>
      </c>
      <c r="CG160" s="392">
        <f>IF(ISBLANK(Actuals!CH73),IF(AND(Projects!$G$11="Yes",81=Projects!$C$11),253980,0),Actuals!CH73)</f>
        <v/>
      </c>
      <c r="CH160" s="392">
        <f>IF(ISBLANK(Actuals!CI73),IF(AND(Projects!$G$11="Yes",82=Projects!$C$11),253980,0),Actuals!CI73)</f>
        <v/>
      </c>
      <c r="CI160" s="392">
        <f>IF(ISBLANK(Actuals!CJ73),IF(AND(Projects!$G$11="Yes",83=Projects!$C$11),253980,0),Actuals!CJ73)</f>
        <v/>
      </c>
      <c r="CJ160" s="392">
        <f>IF(ISBLANK(Actuals!CK73),IF(AND(Projects!$G$11="Yes",84=Projects!$C$11),253980,0),Actuals!CK73)</f>
        <v/>
      </c>
      <c r="CK160" s="392">
        <f>IF(ISBLANK(Actuals!CL73),IF(AND(Projects!$G$11="Yes",85=Projects!$C$11),253980,0),Actuals!CL73)</f>
        <v/>
      </c>
      <c r="CL160" s="392">
        <f>IF(ISBLANK(Actuals!CM73),IF(AND(Projects!$G$11="Yes",86=Projects!$C$11),253980,0),Actuals!CM73)</f>
        <v/>
      </c>
      <c r="CM160" s="392">
        <f>IF(ISBLANK(Actuals!CN73),IF(AND(Projects!$G$11="Yes",87=Projects!$C$11),253980,0),Actuals!CN73)</f>
        <v/>
      </c>
      <c r="CN160" s="392">
        <f>IF(ISBLANK(Actuals!CO73),IF(AND(Projects!$G$11="Yes",88=Projects!$C$11),253980,0),Actuals!CO73)</f>
        <v/>
      </c>
      <c r="CO160" s="392">
        <f>IF(ISBLANK(Actuals!CP73),IF(AND(Projects!$G$11="Yes",89=Projects!$C$11),253980,0),Actuals!CP73)</f>
        <v/>
      </c>
      <c r="CP160" s="392">
        <f>IF(ISBLANK(Actuals!CQ73),IF(AND(Projects!$G$11="Yes",90=Projects!$C$11),253980,0),Actuals!CQ73)</f>
        <v/>
      </c>
      <c r="CQ160" s="392">
        <f>IF(ISBLANK(Actuals!CR73),IF(AND(Projects!$G$11="Yes",91=Projects!$C$11),253980,0),Actuals!CR73)</f>
        <v/>
      </c>
      <c r="CR160" s="392">
        <f>IF(ISBLANK(Actuals!CS73),IF(AND(Projects!$G$11="Yes",92=Projects!$C$11),253980,0),Actuals!CS73)</f>
        <v/>
      </c>
      <c r="CS160" s="392">
        <f>IF(ISBLANK(Actuals!CT73),IF(AND(Projects!$G$11="Yes",93=Projects!$C$11),253980,0),Actuals!CT73)</f>
        <v/>
      </c>
      <c r="CT160" s="392">
        <f>IF(ISBLANK(Actuals!CU73),IF(AND(Projects!$G$11="Yes",94=Projects!$C$11),253980,0),Actuals!CU73)</f>
        <v/>
      </c>
      <c r="CU160" s="392">
        <f>IF(ISBLANK(Actuals!CV73),IF(AND(Projects!$G$11="Yes",95=Projects!$C$11),253980,0),Actuals!CV73)</f>
        <v/>
      </c>
      <c r="CV160" s="392">
        <f>IF(ISBLANK(Actuals!CW73),IF(AND(Projects!$G$11="Yes",96=Projects!$C$11),253980,0),Actuals!CW73)</f>
        <v/>
      </c>
      <c r="CW160" s="392">
        <f>IF(ISBLANK(Actuals!CX73),IF(AND(Projects!$G$11="Yes",97=Projects!$C$11),253980,0),Actuals!CX73)</f>
        <v/>
      </c>
      <c r="CX160" s="392">
        <f>IF(ISBLANK(Actuals!CY73),IF(AND(Projects!$G$11="Yes",98=Projects!$C$11),253980,0),Actuals!CY73)</f>
        <v/>
      </c>
      <c r="CY160" s="392">
        <f>IF(ISBLANK(Actuals!CZ73),IF(AND(Projects!$G$11="Yes",99=Projects!$C$11),253980,0),Actuals!CZ73)</f>
        <v/>
      </c>
      <c r="CZ160" s="392">
        <f>IF(ISBLANK(Actuals!DA73),IF(AND(Projects!$G$11="Yes",100=Projects!$C$11),253980,0),Actuals!DA73)</f>
        <v/>
      </c>
      <c r="DA160" s="392">
        <f>IF(ISBLANK(Actuals!DB73),IF(AND(Projects!$G$11="Yes",101=Projects!$C$11),253980,0),Actuals!DB73)</f>
        <v/>
      </c>
      <c r="DB160" s="392">
        <f>IF(ISBLANK(Actuals!DC73),IF(AND(Projects!$G$11="Yes",102=Projects!$C$11),253980,0),Actuals!DC73)</f>
        <v/>
      </c>
      <c r="DC160" s="392">
        <f>IF(ISBLANK(Actuals!DD73),IF(AND(Projects!$G$11="Yes",103=Projects!$C$11),253980,0),Actuals!DD73)</f>
        <v/>
      </c>
      <c r="DD160" s="392">
        <f>IF(ISBLANK(Actuals!DE73),IF(AND(Projects!$G$11="Yes",104=Projects!$C$11),253980,0),Actuals!DE73)</f>
        <v/>
      </c>
      <c r="DE160" s="392">
        <f>IF(ISBLANK(Actuals!DF73),IF(AND(Projects!$G$11="Yes",105=Projects!$C$11),253980,0),Actuals!DF73)</f>
        <v/>
      </c>
    </row>
    <row r="161" ht="15" customFormat="1" customHeight="1" s="380">
      <c r="A161" s="397" t="inlineStr">
        <is>
          <t>Scott Accounting Fee</t>
        </is>
      </c>
      <c r="B161" s="392">
        <f>IF(ISBLANK(Actuals!C74),0,Actuals!C74)</f>
        <v/>
      </c>
      <c r="C161" s="392">
        <f>IF(ISBLANK(Actuals!D74),0,Actuals!D74)</f>
        <v/>
      </c>
      <c r="D161" s="392">
        <f>IF(ISBLANK(Actuals!E74),0,Actuals!E74)</f>
        <v/>
      </c>
      <c r="E161" s="392">
        <f>IF(ISBLANK(Actuals!F74),IF(AND(Projects!$G$12="Yes",1&gt;=Projects!$C$12,1&lt;Projects!$C$12+Projects!$D$12),6315.79,0),Actuals!F74)</f>
        <v/>
      </c>
      <c r="F161" s="392">
        <f>IF(ISBLANK(Actuals!G74),IF(AND(Projects!$G$12="Yes",2&gt;=Projects!$C$12,2&lt;Projects!$C$12+Projects!$D$12),6315.79,0),Actuals!G74)</f>
        <v/>
      </c>
      <c r="G161" s="392">
        <f>IF(ISBLANK(Actuals!H74),IF(AND(Projects!$G$12="Yes",3&gt;=Projects!$C$12,3&lt;Projects!$C$12+Projects!$D$12),6315.79,0),Actuals!H74)</f>
        <v/>
      </c>
      <c r="H161" s="392">
        <f>IF(ISBLANK(Actuals!I74),IF(AND(Projects!$G$12="Yes",4&gt;=Projects!$C$12,4&lt;Projects!$C$12+Projects!$D$12),6315.79,0),Actuals!I74)</f>
        <v/>
      </c>
      <c r="I161" s="392">
        <f>IF(ISBLANK(Actuals!J74),IF(AND(Projects!$G$12="Yes",5&gt;=Projects!$C$12,5&lt;Projects!$C$12+Projects!$D$12),6315.79,0),Actuals!J74)</f>
        <v/>
      </c>
      <c r="J161" s="392">
        <f>IF(ISBLANK(Actuals!K74),IF(AND(Projects!$G$12="Yes",6&gt;=Projects!$C$12,6&lt;Projects!$C$12+Projects!$D$12),6315.79,0),Actuals!K74)</f>
        <v/>
      </c>
      <c r="K161" s="392">
        <f>IF(ISBLANK(Actuals!L74),IF(AND(Projects!$G$12="Yes",7&gt;=Projects!$C$12,7&lt;Projects!$C$12+Projects!$D$12),6315.79,0),Actuals!L74)</f>
        <v/>
      </c>
      <c r="L161" s="392">
        <f>IF(ISBLANK(Actuals!M74),IF(AND(Projects!$G$12="Yes",8&gt;=Projects!$C$12,8&lt;Projects!$C$12+Projects!$D$12),6315.79,0),Actuals!M74)</f>
        <v/>
      </c>
      <c r="M161" s="392">
        <f>IF(ISBLANK(Actuals!N74),IF(AND(Projects!$G$12="Yes",9&gt;=Projects!$C$12,9&lt;Projects!$C$12+Projects!$D$12),6315.79,0),Actuals!N74)</f>
        <v/>
      </c>
      <c r="N161" s="392">
        <f>IF(ISBLANK(Actuals!O74),IF(AND(Projects!$G$12="Yes",10&gt;=Projects!$C$12,10&lt;Projects!$C$12+Projects!$D$12),6315.79,0),Actuals!O74)</f>
        <v/>
      </c>
      <c r="O161" s="392">
        <f>IF(ISBLANK(Actuals!P74),IF(AND(Projects!$G$12="Yes",11&gt;=Projects!$C$12,11&lt;Projects!$C$12+Projects!$D$12),6315.79,0),Actuals!P74)</f>
        <v/>
      </c>
      <c r="P161" s="392">
        <f>IF(ISBLANK(Actuals!Q74),IF(AND(Projects!$G$12="Yes",12&gt;=Projects!$C$12,12&lt;Projects!$C$12+Projects!$D$12),6315.79,0),Actuals!Q74)</f>
        <v/>
      </c>
      <c r="Q161" s="392">
        <f>IF(ISBLANK(Actuals!R74),IF(AND(Projects!$G$12="Yes",13&gt;=Projects!$C$12,13&lt;Projects!$C$12+Projects!$D$12),6315.79,0),Actuals!R74)</f>
        <v/>
      </c>
      <c r="R161" s="392">
        <f>IF(ISBLANK(Actuals!S74),IF(AND(Projects!$G$12="Yes",14&gt;=Projects!$C$12,14&lt;Projects!$C$12+Projects!$D$12),6315.79,0),Actuals!S74)</f>
        <v/>
      </c>
      <c r="S161" s="392">
        <f>IF(ISBLANK(Actuals!T74),IF(AND(Projects!$G$12="Yes",15&gt;=Projects!$C$12,15&lt;Projects!$C$12+Projects!$D$12),6315.79,0),Actuals!T74)</f>
        <v/>
      </c>
      <c r="T161" s="392">
        <f>IF(ISBLANK(Actuals!U74),IF(AND(Projects!$G$12="Yes",16&gt;=Projects!$C$12,16&lt;Projects!$C$12+Projects!$D$12),6315.79,0),Actuals!U74)</f>
        <v/>
      </c>
      <c r="U161" s="392">
        <f>IF(ISBLANK(Actuals!V74),IF(AND(Projects!$G$12="Yes",17&gt;=Projects!$C$12,17&lt;Projects!$C$12+Projects!$D$12),6315.79,0),Actuals!V74)</f>
        <v/>
      </c>
      <c r="V161" s="392">
        <f>IF(ISBLANK(Actuals!W74),IF(AND(Projects!$G$12="Yes",18&gt;=Projects!$C$12,18&lt;Projects!$C$12+Projects!$D$12),6315.79,0),Actuals!W74)</f>
        <v/>
      </c>
      <c r="W161" s="392">
        <f>IF(ISBLANK(Actuals!X74),IF(AND(Projects!$G$12="Yes",19&gt;=Projects!$C$12,19&lt;Projects!$C$12+Projects!$D$12),6315.79,0),Actuals!X74)</f>
        <v/>
      </c>
      <c r="X161" s="392">
        <f>IF(ISBLANK(Actuals!Y74),IF(AND(Projects!$G$12="Yes",20&gt;=Projects!$C$12,20&lt;Projects!$C$12+Projects!$D$12),6315.79,0),Actuals!Y74)</f>
        <v/>
      </c>
      <c r="Y161" s="392">
        <f>IF(ISBLANK(Actuals!Z74),IF(AND(Projects!$G$12="Yes",21&gt;=Projects!$C$12,21&lt;Projects!$C$12+Projects!$D$12),6315.79,0),Actuals!Z74)</f>
        <v/>
      </c>
      <c r="Z161" s="392">
        <f>IF(ISBLANK(Actuals!AA74),IF(AND(Projects!$G$12="Yes",22&gt;=Projects!$C$12,22&lt;Projects!$C$12+Projects!$D$12),6315.79,0),Actuals!AA74)</f>
        <v/>
      </c>
      <c r="AA161" s="392">
        <f>IF(ISBLANK(Actuals!AB74),IF(AND(Projects!$G$12="Yes",23&gt;=Projects!$C$12,23&lt;Projects!$C$12+Projects!$D$12),6315.79,0),Actuals!AB74)</f>
        <v/>
      </c>
      <c r="AB161" s="392">
        <f>IF(ISBLANK(Actuals!AC74),IF(AND(Projects!$G$12="Yes",24&gt;=Projects!$C$12,24&lt;Projects!$C$12+Projects!$D$12),6315.79,0),Actuals!AC74)</f>
        <v/>
      </c>
      <c r="AC161" s="392">
        <f>IF(ISBLANK(Actuals!AD74),IF(AND(Projects!$G$12="Yes",25&gt;=Projects!$C$12,25&lt;Projects!$C$12+Projects!$D$12),6315.79,0),Actuals!AD74)</f>
        <v/>
      </c>
      <c r="AD161" s="392">
        <f>IF(ISBLANK(Actuals!AE74),IF(AND(Projects!$G$12="Yes",26&gt;=Projects!$C$12,26&lt;Projects!$C$12+Projects!$D$12),6315.79,0),Actuals!AE74)</f>
        <v/>
      </c>
      <c r="AE161" s="392">
        <f>IF(ISBLANK(Actuals!AF74),IF(AND(Projects!$G$12="Yes",27&gt;=Projects!$C$12,27&lt;Projects!$C$12+Projects!$D$12),6315.79,0),Actuals!AF74)</f>
        <v/>
      </c>
      <c r="AF161" s="392">
        <f>IF(ISBLANK(Actuals!AG74),IF(AND(Projects!$G$12="Yes",28&gt;=Projects!$C$12,28&lt;Projects!$C$12+Projects!$D$12),6315.79,0),Actuals!AG74)</f>
        <v/>
      </c>
      <c r="AG161" s="392">
        <f>IF(ISBLANK(Actuals!AH74),IF(AND(Projects!$G$12="Yes",29&gt;=Projects!$C$12,29&lt;Projects!$C$12+Projects!$D$12),6315.79,0),Actuals!AH74)</f>
        <v/>
      </c>
      <c r="AH161" s="392">
        <f>IF(ISBLANK(Actuals!AI74),IF(AND(Projects!$G$12="Yes",30&gt;=Projects!$C$12,30&lt;Projects!$C$12+Projects!$D$12),6315.79,0),Actuals!AI74)</f>
        <v/>
      </c>
      <c r="AI161" s="392">
        <f>IF(ISBLANK(Actuals!AJ74),IF(AND(Projects!$G$12="Yes",31&gt;=Projects!$C$12,31&lt;Projects!$C$12+Projects!$D$12),6315.79,0),Actuals!AJ74)</f>
        <v/>
      </c>
      <c r="AJ161" s="392">
        <f>IF(ISBLANK(Actuals!AK74),IF(AND(Projects!$G$12="Yes",32&gt;=Projects!$C$12,32&lt;Projects!$C$12+Projects!$D$12),6315.79,0),Actuals!AK74)</f>
        <v/>
      </c>
      <c r="AK161" s="392">
        <f>IF(ISBLANK(Actuals!AL74),IF(AND(Projects!$G$12="Yes",33&gt;=Projects!$C$12,33&lt;Projects!$C$12+Projects!$D$12),6315.79,0),Actuals!AL74)</f>
        <v/>
      </c>
      <c r="AL161" s="392">
        <f>IF(ISBLANK(Actuals!AM74),IF(AND(Projects!$G$12="Yes",34&gt;=Projects!$C$12,34&lt;Projects!$C$12+Projects!$D$12),6315.79,0),Actuals!AM74)</f>
        <v/>
      </c>
      <c r="AM161" s="392">
        <f>IF(ISBLANK(Actuals!AN74),IF(AND(Projects!$G$12="Yes",35&gt;=Projects!$C$12,35&lt;Projects!$C$12+Projects!$D$12),6315.79,0),Actuals!AN74)</f>
        <v/>
      </c>
      <c r="AN161" s="392">
        <f>IF(ISBLANK(Actuals!AO74),IF(AND(Projects!$G$12="Yes",36&gt;=Projects!$C$12,36&lt;Projects!$C$12+Projects!$D$12),6315.79,0),Actuals!AO74)</f>
        <v/>
      </c>
      <c r="AO161" s="392">
        <f>IF(ISBLANK(Actuals!AP74),IF(AND(Projects!$G$12="Yes",37&gt;=Projects!$C$12,37&lt;Projects!$C$12+Projects!$D$12),6315.79,0),Actuals!AP74)</f>
        <v/>
      </c>
      <c r="AP161" s="392">
        <f>IF(ISBLANK(Actuals!AQ74),IF(AND(Projects!$G$12="Yes",38&gt;=Projects!$C$12,38&lt;Projects!$C$12+Projects!$D$12),6315.79,0),Actuals!AQ74)</f>
        <v/>
      </c>
      <c r="AQ161" s="392">
        <f>IF(ISBLANK(Actuals!AR74),IF(AND(Projects!$G$12="Yes",39&gt;=Projects!$C$12,39&lt;Projects!$C$12+Projects!$D$12),6315.79,0),Actuals!AR74)</f>
        <v/>
      </c>
      <c r="AR161" s="392">
        <f>IF(ISBLANK(Actuals!AS74),IF(AND(Projects!$G$12="Yes",40&gt;=Projects!$C$12,40&lt;Projects!$C$12+Projects!$D$12),6315.79,0),Actuals!AS74)</f>
        <v/>
      </c>
      <c r="AS161" s="392">
        <f>IF(ISBLANK(Actuals!AT74),IF(AND(Projects!$G$12="Yes",41&gt;=Projects!$C$12,41&lt;Projects!$C$12+Projects!$D$12),6315.79,0),Actuals!AT74)</f>
        <v/>
      </c>
      <c r="AT161" s="392">
        <f>IF(ISBLANK(Actuals!AU74),IF(AND(Projects!$G$12="Yes",42&gt;=Projects!$C$12,42&lt;Projects!$C$12+Projects!$D$12),6315.79,0),Actuals!AU74)</f>
        <v/>
      </c>
      <c r="AU161" s="392">
        <f>IF(ISBLANK(Actuals!AV74),IF(AND(Projects!$G$12="Yes",43&gt;=Projects!$C$12,43&lt;Projects!$C$12+Projects!$D$12),6315.79,0),Actuals!AV74)</f>
        <v/>
      </c>
      <c r="AV161" s="392">
        <f>IF(ISBLANK(Actuals!AW74),IF(AND(Projects!$G$12="Yes",44&gt;=Projects!$C$12,44&lt;Projects!$C$12+Projects!$D$12),6315.79,0),Actuals!AW74)</f>
        <v/>
      </c>
      <c r="AW161" s="392">
        <f>IF(ISBLANK(Actuals!AX74),IF(AND(Projects!$G$12="Yes",45&gt;=Projects!$C$12,45&lt;Projects!$C$12+Projects!$D$12),6315.79,0),Actuals!AX74)</f>
        <v/>
      </c>
      <c r="AX161" s="392">
        <f>IF(ISBLANK(Actuals!AY74),IF(AND(Projects!$G$12="Yes",46&gt;=Projects!$C$12,46&lt;Projects!$C$12+Projects!$D$12),6315.79,0),Actuals!AY74)</f>
        <v/>
      </c>
      <c r="AY161" s="392">
        <f>IF(ISBLANK(Actuals!AZ74),IF(AND(Projects!$G$12="Yes",47&gt;=Projects!$C$12,47&lt;Projects!$C$12+Projects!$D$12),6315.79,0),Actuals!AZ74)</f>
        <v/>
      </c>
      <c r="AZ161" s="392">
        <f>IF(ISBLANK(Actuals!BA74),IF(AND(Projects!$G$12="Yes",48&gt;=Projects!$C$12,48&lt;Projects!$C$12+Projects!$D$12),6315.79,0),Actuals!BA74)</f>
        <v/>
      </c>
      <c r="BA161" s="392">
        <f>IF(ISBLANK(Actuals!BB74),IF(AND(Projects!$G$12="Yes",49&gt;=Projects!$C$12,49&lt;Projects!$C$12+Projects!$D$12),6315.79,0),Actuals!BB74)</f>
        <v/>
      </c>
      <c r="BB161" s="392">
        <f>IF(ISBLANK(Actuals!BC74),IF(AND(Projects!$G$12="Yes",50&gt;=Projects!$C$12,50&lt;Projects!$C$12+Projects!$D$12),6315.79,0),Actuals!BC74)</f>
        <v/>
      </c>
      <c r="BC161" s="392">
        <f>IF(ISBLANK(Actuals!BD74),IF(AND(Projects!$G$12="Yes",51&gt;=Projects!$C$12,51&lt;Projects!$C$12+Projects!$D$12),6315.79,0),Actuals!BD74)</f>
        <v/>
      </c>
      <c r="BD161" s="392">
        <f>IF(ISBLANK(Actuals!BE74),IF(AND(Projects!$G$12="Yes",52&gt;=Projects!$C$12,52&lt;Projects!$C$12+Projects!$D$12),6315.79,0),Actuals!BE74)</f>
        <v/>
      </c>
      <c r="BE161" s="392">
        <f>IF(ISBLANK(Actuals!BF74),IF(AND(Projects!$G$12="Yes",53&gt;=Projects!$C$12,53&lt;Projects!$C$12+Projects!$D$12),6315.79,0),Actuals!BF74)</f>
        <v/>
      </c>
      <c r="BF161" s="392">
        <f>IF(ISBLANK(Actuals!BG74),IF(AND(Projects!$G$12="Yes",54&gt;=Projects!$C$12,54&lt;Projects!$C$12+Projects!$D$12),6315.79,0),Actuals!BG74)</f>
        <v/>
      </c>
      <c r="BG161" s="392">
        <f>IF(ISBLANK(Actuals!BH74),IF(AND(Projects!$G$12="Yes",55&gt;=Projects!$C$12,55&lt;Projects!$C$12+Projects!$D$12),6315.79,0),Actuals!BH74)</f>
        <v/>
      </c>
      <c r="BH161" s="392">
        <f>IF(ISBLANK(Actuals!BI74),IF(AND(Projects!$G$12="Yes",56&gt;=Projects!$C$12,56&lt;Projects!$C$12+Projects!$D$12),6315.79,0),Actuals!BI74)</f>
        <v/>
      </c>
      <c r="BI161" s="392">
        <f>IF(ISBLANK(Actuals!BJ74),IF(AND(Projects!$G$12="Yes",57&gt;=Projects!$C$12,57&lt;Projects!$C$12+Projects!$D$12),6315.79,0),Actuals!BJ74)</f>
        <v/>
      </c>
      <c r="BJ161" s="392">
        <f>IF(ISBLANK(Actuals!BK74),IF(AND(Projects!$G$12="Yes",58&gt;=Projects!$C$12,58&lt;Projects!$C$12+Projects!$D$12),6315.79,0),Actuals!BK74)</f>
        <v/>
      </c>
      <c r="BK161" s="392">
        <f>IF(ISBLANK(Actuals!BL74),IF(AND(Projects!$G$12="Yes",59&gt;=Projects!$C$12,59&lt;Projects!$C$12+Projects!$D$12),6315.79,0),Actuals!BL74)</f>
        <v/>
      </c>
      <c r="BL161" s="392">
        <f>IF(ISBLANK(Actuals!BM74),IF(AND(Projects!$G$12="Yes",60&gt;=Projects!$C$12,60&lt;Projects!$C$12+Projects!$D$12),6315.79,0),Actuals!BM74)</f>
        <v/>
      </c>
      <c r="BM161" s="392">
        <f>IF(ISBLANK(Actuals!BN74),IF(AND(Projects!$G$12="Yes",61&gt;=Projects!$C$12,61&lt;Projects!$C$12+Projects!$D$12),6315.79,0),Actuals!BN74)</f>
        <v/>
      </c>
      <c r="BN161" s="392">
        <f>IF(ISBLANK(Actuals!BO74),IF(AND(Projects!$G$12="Yes",62&gt;=Projects!$C$12,62&lt;Projects!$C$12+Projects!$D$12),6315.79,0),Actuals!BO74)</f>
        <v/>
      </c>
      <c r="BO161" s="392">
        <f>IF(ISBLANK(Actuals!BP74),IF(AND(Projects!$G$12="Yes",63&gt;=Projects!$C$12,63&lt;Projects!$C$12+Projects!$D$12),6315.79,0),Actuals!BP74)</f>
        <v/>
      </c>
      <c r="BP161" s="392">
        <f>IF(ISBLANK(Actuals!BQ74),IF(AND(Projects!$G$12="Yes",64&gt;=Projects!$C$12,64&lt;Projects!$C$12+Projects!$D$12),6315.79,0),Actuals!BQ74)</f>
        <v/>
      </c>
      <c r="BQ161" s="392">
        <f>IF(ISBLANK(Actuals!BR74),IF(AND(Projects!$G$12="Yes",65&gt;=Projects!$C$12,65&lt;Projects!$C$12+Projects!$D$12),6315.79,0),Actuals!BR74)</f>
        <v/>
      </c>
      <c r="BR161" s="392">
        <f>IF(ISBLANK(Actuals!BS74),IF(AND(Projects!$G$12="Yes",66&gt;=Projects!$C$12,66&lt;Projects!$C$12+Projects!$D$12),6315.79,0),Actuals!BS74)</f>
        <v/>
      </c>
      <c r="BS161" s="392">
        <f>IF(ISBLANK(Actuals!BT74),IF(AND(Projects!$G$12="Yes",67&gt;=Projects!$C$12,67&lt;Projects!$C$12+Projects!$D$12),6315.79,0),Actuals!BT74)</f>
        <v/>
      </c>
      <c r="BT161" s="392">
        <f>IF(ISBLANK(Actuals!BU74),IF(AND(Projects!$G$12="Yes",68&gt;=Projects!$C$12,68&lt;Projects!$C$12+Projects!$D$12),6315.79,0),Actuals!BU74)</f>
        <v/>
      </c>
      <c r="BU161" s="392">
        <f>IF(ISBLANK(Actuals!BV74),IF(AND(Projects!$G$12="Yes",69&gt;=Projects!$C$12,69&lt;Projects!$C$12+Projects!$D$12),6315.79,0),Actuals!BV74)</f>
        <v/>
      </c>
      <c r="BV161" s="392">
        <f>IF(ISBLANK(Actuals!BW74),IF(AND(Projects!$G$12="Yes",70&gt;=Projects!$C$12,70&lt;Projects!$C$12+Projects!$D$12),6315.79,0),Actuals!BW74)</f>
        <v/>
      </c>
      <c r="BW161" s="392">
        <f>IF(ISBLANK(Actuals!BX74),IF(AND(Projects!$G$12="Yes",71&gt;=Projects!$C$12,71&lt;Projects!$C$12+Projects!$D$12),6315.79,0),Actuals!BX74)</f>
        <v/>
      </c>
      <c r="BX161" s="392">
        <f>IF(ISBLANK(Actuals!BY74),IF(AND(Projects!$G$12="Yes",72&gt;=Projects!$C$12,72&lt;Projects!$C$12+Projects!$D$12),6315.79,0),Actuals!BY74)</f>
        <v/>
      </c>
      <c r="BY161" s="392">
        <f>IF(ISBLANK(Actuals!BZ74),IF(AND(Projects!$G$12="Yes",73&gt;=Projects!$C$12,73&lt;Projects!$C$12+Projects!$D$12),6315.79,0),Actuals!BZ74)</f>
        <v/>
      </c>
      <c r="BZ161" s="392">
        <f>IF(ISBLANK(Actuals!CA74),IF(AND(Projects!$G$12="Yes",74&gt;=Projects!$C$12,74&lt;Projects!$C$12+Projects!$D$12),6315.79,0),Actuals!CA74)</f>
        <v/>
      </c>
      <c r="CA161" s="392">
        <f>IF(ISBLANK(Actuals!CB74),IF(AND(Projects!$G$12="Yes",75&gt;=Projects!$C$12,75&lt;Projects!$C$12+Projects!$D$12),6315.79,0),Actuals!CB74)</f>
        <v/>
      </c>
      <c r="CB161" s="392">
        <f>IF(ISBLANK(Actuals!CC74),IF(AND(Projects!$G$12="Yes",76&gt;=Projects!$C$12,76&lt;Projects!$C$12+Projects!$D$12),6315.79,0),Actuals!CC74)</f>
        <v/>
      </c>
      <c r="CC161" s="392">
        <f>IF(ISBLANK(Actuals!CD74),IF(AND(Projects!$G$12="Yes",77&gt;=Projects!$C$12,77&lt;Projects!$C$12+Projects!$D$12),6315.79,0),Actuals!CD74)</f>
        <v/>
      </c>
      <c r="CD161" s="392">
        <f>IF(ISBLANK(Actuals!CE74),IF(AND(Projects!$G$12="Yes",78&gt;=Projects!$C$12,78&lt;Projects!$C$12+Projects!$D$12),6315.79,0),Actuals!CE74)</f>
        <v/>
      </c>
      <c r="CE161" s="392">
        <f>IF(ISBLANK(Actuals!CF74),IF(AND(Projects!$G$12="Yes",79&gt;=Projects!$C$12,79&lt;Projects!$C$12+Projects!$D$12),6315.79,0),Actuals!CF74)</f>
        <v/>
      </c>
      <c r="CF161" s="392">
        <f>IF(ISBLANK(Actuals!CG74),IF(AND(Projects!$G$12="Yes",80&gt;=Projects!$C$12,80&lt;Projects!$C$12+Projects!$D$12),6315.79,0),Actuals!CG74)</f>
        <v/>
      </c>
      <c r="CG161" s="392">
        <f>IF(ISBLANK(Actuals!CH74),IF(AND(Projects!$G$12="Yes",81&gt;=Projects!$C$12,81&lt;Projects!$C$12+Projects!$D$12),6315.79,0),Actuals!CH74)</f>
        <v/>
      </c>
      <c r="CH161" s="392">
        <f>IF(ISBLANK(Actuals!CI74),IF(AND(Projects!$G$12="Yes",82&gt;=Projects!$C$12,82&lt;Projects!$C$12+Projects!$D$12),6315.79,0),Actuals!CI74)</f>
        <v/>
      </c>
      <c r="CI161" s="392">
        <f>IF(ISBLANK(Actuals!CJ74),IF(AND(Projects!$G$12="Yes",83&gt;=Projects!$C$12,83&lt;Projects!$C$12+Projects!$D$12),6315.79,0),Actuals!CJ74)</f>
        <v/>
      </c>
      <c r="CJ161" s="392">
        <f>IF(ISBLANK(Actuals!CK74),IF(AND(Projects!$G$12="Yes",84&gt;=Projects!$C$12,84&lt;Projects!$C$12+Projects!$D$12),6315.79,0),Actuals!CK74)</f>
        <v/>
      </c>
      <c r="CK161" s="392">
        <f>IF(ISBLANK(Actuals!CL74),IF(AND(Projects!$G$12="Yes",85&gt;=Projects!$C$12,85&lt;Projects!$C$12+Projects!$D$12),6315.79,0),Actuals!CL74)</f>
        <v/>
      </c>
      <c r="CL161" s="392">
        <f>IF(ISBLANK(Actuals!CM74),IF(AND(Projects!$G$12="Yes",86&gt;=Projects!$C$12,86&lt;Projects!$C$12+Projects!$D$12),6315.79,0),Actuals!CM74)</f>
        <v/>
      </c>
      <c r="CM161" s="392">
        <f>IF(ISBLANK(Actuals!CN74),IF(AND(Projects!$G$12="Yes",87&gt;=Projects!$C$12,87&lt;Projects!$C$12+Projects!$D$12),6315.79,0),Actuals!CN74)</f>
        <v/>
      </c>
      <c r="CN161" s="392">
        <f>IF(ISBLANK(Actuals!CO74),IF(AND(Projects!$G$12="Yes",88&gt;=Projects!$C$12,88&lt;Projects!$C$12+Projects!$D$12),6315.79,0),Actuals!CO74)</f>
        <v/>
      </c>
      <c r="CO161" s="392">
        <f>IF(ISBLANK(Actuals!CP74),IF(AND(Projects!$G$12="Yes",89&gt;=Projects!$C$12,89&lt;Projects!$C$12+Projects!$D$12),6315.79,0),Actuals!CP74)</f>
        <v/>
      </c>
      <c r="CP161" s="392">
        <f>IF(ISBLANK(Actuals!CQ74),IF(AND(Projects!$G$12="Yes",90&gt;=Projects!$C$12,90&lt;Projects!$C$12+Projects!$D$12),6315.79,0),Actuals!CQ74)</f>
        <v/>
      </c>
      <c r="CQ161" s="392">
        <f>IF(ISBLANK(Actuals!CR74),IF(AND(Projects!$G$12="Yes",91&gt;=Projects!$C$12,91&lt;Projects!$C$12+Projects!$D$12),6315.79,0),Actuals!CR74)</f>
        <v/>
      </c>
      <c r="CR161" s="392">
        <f>IF(ISBLANK(Actuals!CS74),IF(AND(Projects!$G$12="Yes",92&gt;=Projects!$C$12,92&lt;Projects!$C$12+Projects!$D$12),6315.79,0),Actuals!CS74)</f>
        <v/>
      </c>
      <c r="CS161" s="392">
        <f>IF(ISBLANK(Actuals!CT74),IF(AND(Projects!$G$12="Yes",93&gt;=Projects!$C$12,93&lt;Projects!$C$12+Projects!$D$12),6315.79,0),Actuals!CT74)</f>
        <v/>
      </c>
      <c r="CT161" s="392">
        <f>IF(ISBLANK(Actuals!CU74),IF(AND(Projects!$G$12="Yes",94&gt;=Projects!$C$12,94&lt;Projects!$C$12+Projects!$D$12),6315.79,0),Actuals!CU74)</f>
        <v/>
      </c>
      <c r="CU161" s="392">
        <f>IF(ISBLANK(Actuals!CV74),IF(AND(Projects!$G$12="Yes",95&gt;=Projects!$C$12,95&lt;Projects!$C$12+Projects!$D$12),6315.79,0),Actuals!CV74)</f>
        <v/>
      </c>
      <c r="CV161" s="392">
        <f>IF(ISBLANK(Actuals!CW74),IF(AND(Projects!$G$12="Yes",96&gt;=Projects!$C$12,96&lt;Projects!$C$12+Projects!$D$12),6315.79,0),Actuals!CW74)</f>
        <v/>
      </c>
      <c r="CW161" s="392">
        <f>IF(ISBLANK(Actuals!CX74),IF(AND(Projects!$G$12="Yes",97&gt;=Projects!$C$12,97&lt;Projects!$C$12+Projects!$D$12),6315.79,0),Actuals!CX74)</f>
        <v/>
      </c>
      <c r="CX161" s="392">
        <f>IF(ISBLANK(Actuals!CY74),IF(AND(Projects!$G$12="Yes",98&gt;=Projects!$C$12,98&lt;Projects!$C$12+Projects!$D$12),6315.79,0),Actuals!CY74)</f>
        <v/>
      </c>
      <c r="CY161" s="392">
        <f>IF(ISBLANK(Actuals!CZ74),IF(AND(Projects!$G$12="Yes",99&gt;=Projects!$C$12,99&lt;Projects!$C$12+Projects!$D$12),6315.79,0),Actuals!CZ74)</f>
        <v/>
      </c>
      <c r="CZ161" s="392">
        <f>IF(ISBLANK(Actuals!DA74),IF(AND(Projects!$G$12="Yes",100&gt;=Projects!$C$12,100&lt;Projects!$C$12+Projects!$D$12),6315.79,0),Actuals!DA74)</f>
        <v/>
      </c>
      <c r="DA161" s="392">
        <f>IF(ISBLANK(Actuals!DB74),IF(AND(Projects!$G$12="Yes",101&gt;=Projects!$C$12,101&lt;Projects!$C$12+Projects!$D$12),6315.79,0),Actuals!DB74)</f>
        <v/>
      </c>
      <c r="DB161" s="392">
        <f>IF(ISBLANK(Actuals!DC74),IF(AND(Projects!$G$12="Yes",102&gt;=Projects!$C$12,102&lt;Projects!$C$12+Projects!$D$12),6315.79,0),Actuals!DC74)</f>
        <v/>
      </c>
      <c r="DC161" s="392">
        <f>IF(ISBLANK(Actuals!DD74),IF(AND(Projects!$G$12="Yes",103&gt;=Projects!$C$12,103&lt;Projects!$C$12+Projects!$D$12),6315.79,0),Actuals!DD74)</f>
        <v/>
      </c>
      <c r="DD161" s="392">
        <f>IF(ISBLANK(Actuals!DE74),IF(AND(Projects!$G$12="Yes",104&gt;=Projects!$C$12,104&lt;Projects!$C$12+Projects!$D$12),6315.79,0),Actuals!DE74)</f>
        <v/>
      </c>
      <c r="DE161" s="392">
        <f>IF(ISBLANK(Actuals!DF74),IF(AND(Projects!$G$12="Yes",105&gt;=Projects!$C$12,105&lt;Projects!$C$12+Projects!$D$12),6315.79,0),Actuals!DF74)</f>
        <v/>
      </c>
    </row>
    <row r="162" ht="15" customFormat="1" customHeight="1" s="380">
      <c r="A162" s="397" t="inlineStr">
        <is>
          <t>Scott Developer Fee</t>
        </is>
      </c>
      <c r="B162" s="392">
        <f>IF(ISBLANK(Actuals!C75),0,Actuals!C75)</f>
        <v/>
      </c>
      <c r="C162" s="392">
        <f>IF(ISBLANK(Actuals!D75),0,Actuals!D75)</f>
        <v/>
      </c>
      <c r="D162" s="392">
        <f>IF(ISBLANK(Actuals!E75),0,Actuals!E75)</f>
        <v/>
      </c>
      <c r="E162" s="392">
        <f>IF(ISBLANK(Actuals!F75),IF(AND(Projects!$G$12="Yes",1&gt;=Projects!$C$12,1&lt;Projects!$C$12+Projects!$D$12),4736.84,0),Actuals!F75)</f>
        <v/>
      </c>
      <c r="F162" s="392">
        <f>IF(ISBLANK(Actuals!G75),IF(AND(Projects!$G$12="Yes",2&gt;=Projects!$C$12,2&lt;Projects!$C$12+Projects!$D$12),4736.84,0),Actuals!G75)</f>
        <v/>
      </c>
      <c r="G162" s="392">
        <f>IF(ISBLANK(Actuals!H75),IF(AND(Projects!$G$12="Yes",3&gt;=Projects!$C$12,3&lt;Projects!$C$12+Projects!$D$12),4736.84,0),Actuals!H75)</f>
        <v/>
      </c>
      <c r="H162" s="392">
        <f>IF(ISBLANK(Actuals!I75),IF(AND(Projects!$G$12="Yes",4&gt;=Projects!$C$12,4&lt;Projects!$C$12+Projects!$D$12),4736.84,0),Actuals!I75)</f>
        <v/>
      </c>
      <c r="I162" s="392">
        <f>IF(ISBLANK(Actuals!J75),IF(AND(Projects!$G$12="Yes",5&gt;=Projects!$C$12,5&lt;Projects!$C$12+Projects!$D$12),4736.84,0),Actuals!J75)</f>
        <v/>
      </c>
      <c r="J162" s="392">
        <f>IF(ISBLANK(Actuals!K75),IF(AND(Projects!$G$12="Yes",6&gt;=Projects!$C$12,6&lt;Projects!$C$12+Projects!$D$12),4736.84,0),Actuals!K75)</f>
        <v/>
      </c>
      <c r="K162" s="392">
        <f>IF(ISBLANK(Actuals!L75),IF(AND(Projects!$G$12="Yes",7&gt;=Projects!$C$12,7&lt;Projects!$C$12+Projects!$D$12),4736.84,0),Actuals!L75)</f>
        <v/>
      </c>
      <c r="L162" s="392">
        <f>IF(ISBLANK(Actuals!M75),IF(AND(Projects!$G$12="Yes",8&gt;=Projects!$C$12,8&lt;Projects!$C$12+Projects!$D$12),4736.84,0),Actuals!M75)</f>
        <v/>
      </c>
      <c r="M162" s="392">
        <f>IF(ISBLANK(Actuals!N75),IF(AND(Projects!$G$12="Yes",9&gt;=Projects!$C$12,9&lt;Projects!$C$12+Projects!$D$12),4736.84,0),Actuals!N75)</f>
        <v/>
      </c>
      <c r="N162" s="392">
        <f>IF(ISBLANK(Actuals!O75),IF(AND(Projects!$G$12="Yes",10&gt;=Projects!$C$12,10&lt;Projects!$C$12+Projects!$D$12),4736.84,0),Actuals!O75)</f>
        <v/>
      </c>
      <c r="O162" s="392">
        <f>IF(ISBLANK(Actuals!P75),IF(AND(Projects!$G$12="Yes",11&gt;=Projects!$C$12,11&lt;Projects!$C$12+Projects!$D$12),4736.84,0),Actuals!P75)</f>
        <v/>
      </c>
      <c r="P162" s="392">
        <f>IF(ISBLANK(Actuals!Q75),IF(AND(Projects!$G$12="Yes",12&gt;=Projects!$C$12,12&lt;Projects!$C$12+Projects!$D$12),4736.84,0),Actuals!Q75)</f>
        <v/>
      </c>
      <c r="Q162" s="392">
        <f>IF(ISBLANK(Actuals!R75),IF(AND(Projects!$G$12="Yes",13&gt;=Projects!$C$12,13&lt;Projects!$C$12+Projects!$D$12),4736.84,0),Actuals!R75)</f>
        <v/>
      </c>
      <c r="R162" s="392">
        <f>IF(ISBLANK(Actuals!S75),IF(AND(Projects!$G$12="Yes",14&gt;=Projects!$C$12,14&lt;Projects!$C$12+Projects!$D$12),4736.84,0),Actuals!S75)</f>
        <v/>
      </c>
      <c r="S162" s="392">
        <f>IF(ISBLANK(Actuals!T75),IF(AND(Projects!$G$12="Yes",15&gt;=Projects!$C$12,15&lt;Projects!$C$12+Projects!$D$12),4736.84,0),Actuals!T75)</f>
        <v/>
      </c>
      <c r="T162" s="392">
        <f>IF(ISBLANK(Actuals!U75),IF(AND(Projects!$G$12="Yes",16&gt;=Projects!$C$12,16&lt;Projects!$C$12+Projects!$D$12),4736.84,0),Actuals!U75)</f>
        <v/>
      </c>
      <c r="U162" s="392">
        <f>IF(ISBLANK(Actuals!V75),IF(AND(Projects!$G$12="Yes",17&gt;=Projects!$C$12,17&lt;Projects!$C$12+Projects!$D$12),4736.84,0),Actuals!V75)</f>
        <v/>
      </c>
      <c r="V162" s="392">
        <f>IF(ISBLANK(Actuals!W75),IF(AND(Projects!$G$12="Yes",18&gt;=Projects!$C$12,18&lt;Projects!$C$12+Projects!$D$12),4736.84,0),Actuals!W75)</f>
        <v/>
      </c>
      <c r="W162" s="392">
        <f>IF(ISBLANK(Actuals!X75),IF(AND(Projects!$G$12="Yes",19&gt;=Projects!$C$12,19&lt;Projects!$C$12+Projects!$D$12),4736.84,0),Actuals!X75)</f>
        <v/>
      </c>
      <c r="X162" s="392">
        <f>IF(ISBLANK(Actuals!Y75),IF(AND(Projects!$G$12="Yes",20&gt;=Projects!$C$12,20&lt;Projects!$C$12+Projects!$D$12),4736.84,0),Actuals!Y75)</f>
        <v/>
      </c>
      <c r="Y162" s="392">
        <f>IF(ISBLANK(Actuals!Z75),IF(AND(Projects!$G$12="Yes",21&gt;=Projects!$C$12,21&lt;Projects!$C$12+Projects!$D$12),4736.84,0),Actuals!Z75)</f>
        <v/>
      </c>
      <c r="Z162" s="392">
        <f>IF(ISBLANK(Actuals!AA75),IF(AND(Projects!$G$12="Yes",22&gt;=Projects!$C$12,22&lt;Projects!$C$12+Projects!$D$12),4736.84,0),Actuals!AA75)</f>
        <v/>
      </c>
      <c r="AA162" s="392">
        <f>IF(ISBLANK(Actuals!AB75),IF(AND(Projects!$G$12="Yes",23&gt;=Projects!$C$12,23&lt;Projects!$C$12+Projects!$D$12),4736.84,0),Actuals!AB75)</f>
        <v/>
      </c>
      <c r="AB162" s="392">
        <f>IF(ISBLANK(Actuals!AC75),IF(AND(Projects!$G$12="Yes",24&gt;=Projects!$C$12,24&lt;Projects!$C$12+Projects!$D$12),4736.84,0),Actuals!AC75)</f>
        <v/>
      </c>
      <c r="AC162" s="392">
        <f>IF(ISBLANK(Actuals!AD75),IF(AND(Projects!$G$12="Yes",25&gt;=Projects!$C$12,25&lt;Projects!$C$12+Projects!$D$12),4736.84,0),Actuals!AD75)</f>
        <v/>
      </c>
      <c r="AD162" s="392">
        <f>IF(ISBLANK(Actuals!AE75),IF(AND(Projects!$G$12="Yes",26&gt;=Projects!$C$12,26&lt;Projects!$C$12+Projects!$D$12),4736.84,0),Actuals!AE75)</f>
        <v/>
      </c>
      <c r="AE162" s="392">
        <f>IF(ISBLANK(Actuals!AF75),IF(AND(Projects!$G$12="Yes",27&gt;=Projects!$C$12,27&lt;Projects!$C$12+Projects!$D$12),4736.84,0),Actuals!AF75)</f>
        <v/>
      </c>
      <c r="AF162" s="392">
        <f>IF(ISBLANK(Actuals!AG75),IF(AND(Projects!$G$12="Yes",28&gt;=Projects!$C$12,28&lt;Projects!$C$12+Projects!$D$12),4736.84,0),Actuals!AG75)</f>
        <v/>
      </c>
      <c r="AG162" s="392">
        <f>IF(ISBLANK(Actuals!AH75),IF(AND(Projects!$G$12="Yes",29&gt;=Projects!$C$12,29&lt;Projects!$C$12+Projects!$D$12),4736.84,0),Actuals!AH75)</f>
        <v/>
      </c>
      <c r="AH162" s="392">
        <f>IF(ISBLANK(Actuals!AI75),IF(AND(Projects!$G$12="Yes",30&gt;=Projects!$C$12,30&lt;Projects!$C$12+Projects!$D$12),4736.84,0),Actuals!AI75)</f>
        <v/>
      </c>
      <c r="AI162" s="392">
        <f>IF(ISBLANK(Actuals!AJ75),IF(AND(Projects!$G$12="Yes",31&gt;=Projects!$C$12,31&lt;Projects!$C$12+Projects!$D$12),4736.84,0),Actuals!AJ75)</f>
        <v/>
      </c>
      <c r="AJ162" s="392">
        <f>IF(ISBLANK(Actuals!AK75),IF(AND(Projects!$G$12="Yes",32&gt;=Projects!$C$12,32&lt;Projects!$C$12+Projects!$D$12),4736.84,0),Actuals!AK75)</f>
        <v/>
      </c>
      <c r="AK162" s="392">
        <f>IF(ISBLANK(Actuals!AL75),IF(AND(Projects!$G$12="Yes",33&gt;=Projects!$C$12,33&lt;Projects!$C$12+Projects!$D$12),4736.84,0),Actuals!AL75)</f>
        <v/>
      </c>
      <c r="AL162" s="392">
        <f>IF(ISBLANK(Actuals!AM75),IF(AND(Projects!$G$12="Yes",34&gt;=Projects!$C$12,34&lt;Projects!$C$12+Projects!$D$12),4736.84,0),Actuals!AM75)</f>
        <v/>
      </c>
      <c r="AM162" s="392">
        <f>IF(ISBLANK(Actuals!AN75),IF(AND(Projects!$G$12="Yes",35&gt;=Projects!$C$12,35&lt;Projects!$C$12+Projects!$D$12),4736.84,0),Actuals!AN75)</f>
        <v/>
      </c>
      <c r="AN162" s="392">
        <f>IF(ISBLANK(Actuals!AO75),IF(AND(Projects!$G$12="Yes",36&gt;=Projects!$C$12,36&lt;Projects!$C$12+Projects!$D$12),4736.84,0),Actuals!AO75)</f>
        <v/>
      </c>
      <c r="AO162" s="392">
        <f>IF(ISBLANK(Actuals!AP75),IF(AND(Projects!$G$12="Yes",37&gt;=Projects!$C$12,37&lt;Projects!$C$12+Projects!$D$12),4736.84,0),Actuals!AP75)</f>
        <v/>
      </c>
      <c r="AP162" s="392">
        <f>IF(ISBLANK(Actuals!AQ75),IF(AND(Projects!$G$12="Yes",38&gt;=Projects!$C$12,38&lt;Projects!$C$12+Projects!$D$12),4736.84,0),Actuals!AQ75)</f>
        <v/>
      </c>
      <c r="AQ162" s="392">
        <f>IF(ISBLANK(Actuals!AR75),IF(AND(Projects!$G$12="Yes",39&gt;=Projects!$C$12,39&lt;Projects!$C$12+Projects!$D$12),4736.84,0),Actuals!AR75)</f>
        <v/>
      </c>
      <c r="AR162" s="392">
        <f>IF(ISBLANK(Actuals!AS75),IF(AND(Projects!$G$12="Yes",40&gt;=Projects!$C$12,40&lt;Projects!$C$12+Projects!$D$12),4736.84,0),Actuals!AS75)</f>
        <v/>
      </c>
      <c r="AS162" s="392">
        <f>IF(ISBLANK(Actuals!AT75),IF(AND(Projects!$G$12="Yes",41&gt;=Projects!$C$12,41&lt;Projects!$C$12+Projects!$D$12),4736.84,0),Actuals!AT75)</f>
        <v/>
      </c>
      <c r="AT162" s="392">
        <f>IF(ISBLANK(Actuals!AU75),IF(AND(Projects!$G$12="Yes",42&gt;=Projects!$C$12,42&lt;Projects!$C$12+Projects!$D$12),4736.84,0),Actuals!AU75)</f>
        <v/>
      </c>
      <c r="AU162" s="392">
        <f>IF(ISBLANK(Actuals!AV75),IF(AND(Projects!$G$12="Yes",43&gt;=Projects!$C$12,43&lt;Projects!$C$12+Projects!$D$12),4736.84,0),Actuals!AV75)</f>
        <v/>
      </c>
      <c r="AV162" s="392">
        <f>IF(ISBLANK(Actuals!AW75),IF(AND(Projects!$G$12="Yes",44&gt;=Projects!$C$12,44&lt;Projects!$C$12+Projects!$D$12),4736.84,0),Actuals!AW75)</f>
        <v/>
      </c>
      <c r="AW162" s="392">
        <f>IF(ISBLANK(Actuals!AX75),IF(AND(Projects!$G$12="Yes",45&gt;=Projects!$C$12,45&lt;Projects!$C$12+Projects!$D$12),4736.84,0),Actuals!AX75)</f>
        <v/>
      </c>
      <c r="AX162" s="392">
        <f>IF(ISBLANK(Actuals!AY75),IF(AND(Projects!$G$12="Yes",46&gt;=Projects!$C$12,46&lt;Projects!$C$12+Projects!$D$12),4736.84,0),Actuals!AY75)</f>
        <v/>
      </c>
      <c r="AY162" s="392">
        <f>IF(ISBLANK(Actuals!AZ75),IF(AND(Projects!$G$12="Yes",47&gt;=Projects!$C$12,47&lt;Projects!$C$12+Projects!$D$12),4736.84,0),Actuals!AZ75)</f>
        <v/>
      </c>
      <c r="AZ162" s="392">
        <f>IF(ISBLANK(Actuals!BA75),IF(AND(Projects!$G$12="Yes",48&gt;=Projects!$C$12,48&lt;Projects!$C$12+Projects!$D$12),4736.84,0),Actuals!BA75)</f>
        <v/>
      </c>
      <c r="BA162" s="392">
        <f>IF(ISBLANK(Actuals!BB75),IF(AND(Projects!$G$12="Yes",49&gt;=Projects!$C$12,49&lt;Projects!$C$12+Projects!$D$12),4736.84,0),Actuals!BB75)</f>
        <v/>
      </c>
      <c r="BB162" s="392">
        <f>IF(ISBLANK(Actuals!BC75),IF(AND(Projects!$G$12="Yes",50&gt;=Projects!$C$12,50&lt;Projects!$C$12+Projects!$D$12),4736.84,0),Actuals!BC75)</f>
        <v/>
      </c>
      <c r="BC162" s="392">
        <f>IF(ISBLANK(Actuals!BD75),IF(AND(Projects!$G$12="Yes",51&gt;=Projects!$C$12,51&lt;Projects!$C$12+Projects!$D$12),4736.84,0),Actuals!BD75)</f>
        <v/>
      </c>
      <c r="BD162" s="392">
        <f>IF(ISBLANK(Actuals!BE75),IF(AND(Projects!$G$12="Yes",52&gt;=Projects!$C$12,52&lt;Projects!$C$12+Projects!$D$12),4736.84,0),Actuals!BE75)</f>
        <v/>
      </c>
      <c r="BE162" s="392">
        <f>IF(ISBLANK(Actuals!BF75),IF(AND(Projects!$G$12="Yes",53&gt;=Projects!$C$12,53&lt;Projects!$C$12+Projects!$D$12),4736.84,0),Actuals!BF75)</f>
        <v/>
      </c>
      <c r="BF162" s="392">
        <f>IF(ISBLANK(Actuals!BG75),IF(AND(Projects!$G$12="Yes",54&gt;=Projects!$C$12,54&lt;Projects!$C$12+Projects!$D$12),4736.84,0),Actuals!BG75)</f>
        <v/>
      </c>
      <c r="BG162" s="392">
        <f>IF(ISBLANK(Actuals!BH75),IF(AND(Projects!$G$12="Yes",55&gt;=Projects!$C$12,55&lt;Projects!$C$12+Projects!$D$12),4736.84,0),Actuals!BH75)</f>
        <v/>
      </c>
      <c r="BH162" s="392">
        <f>IF(ISBLANK(Actuals!BI75),IF(AND(Projects!$G$12="Yes",56&gt;=Projects!$C$12,56&lt;Projects!$C$12+Projects!$D$12),4736.84,0),Actuals!BI75)</f>
        <v/>
      </c>
      <c r="BI162" s="392">
        <f>IF(ISBLANK(Actuals!BJ75),IF(AND(Projects!$G$12="Yes",57&gt;=Projects!$C$12,57&lt;Projects!$C$12+Projects!$D$12),4736.84,0),Actuals!BJ75)</f>
        <v/>
      </c>
      <c r="BJ162" s="392">
        <f>IF(ISBLANK(Actuals!BK75),IF(AND(Projects!$G$12="Yes",58&gt;=Projects!$C$12,58&lt;Projects!$C$12+Projects!$D$12),4736.84,0),Actuals!BK75)</f>
        <v/>
      </c>
      <c r="BK162" s="392">
        <f>IF(ISBLANK(Actuals!BL75),IF(AND(Projects!$G$12="Yes",59&gt;=Projects!$C$12,59&lt;Projects!$C$12+Projects!$D$12),4736.84,0),Actuals!BL75)</f>
        <v/>
      </c>
      <c r="BL162" s="392">
        <f>IF(ISBLANK(Actuals!BM75),IF(AND(Projects!$G$12="Yes",60&gt;=Projects!$C$12,60&lt;Projects!$C$12+Projects!$D$12),4736.84,0),Actuals!BM75)</f>
        <v/>
      </c>
      <c r="BM162" s="392">
        <f>IF(ISBLANK(Actuals!BN75),IF(AND(Projects!$G$12="Yes",61&gt;=Projects!$C$12,61&lt;Projects!$C$12+Projects!$D$12),4736.84,0),Actuals!BN75)</f>
        <v/>
      </c>
      <c r="BN162" s="392">
        <f>IF(ISBLANK(Actuals!BO75),IF(AND(Projects!$G$12="Yes",62&gt;=Projects!$C$12,62&lt;Projects!$C$12+Projects!$D$12),4736.84,0),Actuals!BO75)</f>
        <v/>
      </c>
      <c r="BO162" s="392">
        <f>IF(ISBLANK(Actuals!BP75),IF(AND(Projects!$G$12="Yes",63&gt;=Projects!$C$12,63&lt;Projects!$C$12+Projects!$D$12),4736.84,0),Actuals!BP75)</f>
        <v/>
      </c>
      <c r="BP162" s="392">
        <f>IF(ISBLANK(Actuals!BQ75),IF(AND(Projects!$G$12="Yes",64&gt;=Projects!$C$12,64&lt;Projects!$C$12+Projects!$D$12),4736.84,0),Actuals!BQ75)</f>
        <v/>
      </c>
      <c r="BQ162" s="392">
        <f>IF(ISBLANK(Actuals!BR75),IF(AND(Projects!$G$12="Yes",65&gt;=Projects!$C$12,65&lt;Projects!$C$12+Projects!$D$12),4736.84,0),Actuals!BR75)</f>
        <v/>
      </c>
      <c r="BR162" s="392">
        <f>IF(ISBLANK(Actuals!BS75),IF(AND(Projects!$G$12="Yes",66&gt;=Projects!$C$12,66&lt;Projects!$C$12+Projects!$D$12),4736.84,0),Actuals!BS75)</f>
        <v/>
      </c>
      <c r="BS162" s="392">
        <f>IF(ISBLANK(Actuals!BT75),IF(AND(Projects!$G$12="Yes",67&gt;=Projects!$C$12,67&lt;Projects!$C$12+Projects!$D$12),4736.84,0),Actuals!BT75)</f>
        <v/>
      </c>
      <c r="BT162" s="392">
        <f>IF(ISBLANK(Actuals!BU75),IF(AND(Projects!$G$12="Yes",68&gt;=Projects!$C$12,68&lt;Projects!$C$12+Projects!$D$12),4736.84,0),Actuals!BU75)</f>
        <v/>
      </c>
      <c r="BU162" s="392">
        <f>IF(ISBLANK(Actuals!BV75),IF(AND(Projects!$G$12="Yes",69&gt;=Projects!$C$12,69&lt;Projects!$C$12+Projects!$D$12),4736.84,0),Actuals!BV75)</f>
        <v/>
      </c>
      <c r="BV162" s="392">
        <f>IF(ISBLANK(Actuals!BW75),IF(AND(Projects!$G$12="Yes",70&gt;=Projects!$C$12,70&lt;Projects!$C$12+Projects!$D$12),4736.84,0),Actuals!BW75)</f>
        <v/>
      </c>
      <c r="BW162" s="392">
        <f>IF(ISBLANK(Actuals!BX75),IF(AND(Projects!$G$12="Yes",71&gt;=Projects!$C$12,71&lt;Projects!$C$12+Projects!$D$12),4736.84,0),Actuals!BX75)</f>
        <v/>
      </c>
      <c r="BX162" s="392">
        <f>IF(ISBLANK(Actuals!BY75),IF(AND(Projects!$G$12="Yes",72&gt;=Projects!$C$12,72&lt;Projects!$C$12+Projects!$D$12),4736.84,0),Actuals!BY75)</f>
        <v/>
      </c>
      <c r="BY162" s="392">
        <f>IF(ISBLANK(Actuals!BZ75),IF(AND(Projects!$G$12="Yes",73&gt;=Projects!$C$12,73&lt;Projects!$C$12+Projects!$D$12),4736.84,0),Actuals!BZ75)</f>
        <v/>
      </c>
      <c r="BZ162" s="392">
        <f>IF(ISBLANK(Actuals!CA75),IF(AND(Projects!$G$12="Yes",74&gt;=Projects!$C$12,74&lt;Projects!$C$12+Projects!$D$12),4736.84,0),Actuals!CA75)</f>
        <v/>
      </c>
      <c r="CA162" s="392">
        <f>IF(ISBLANK(Actuals!CB75),IF(AND(Projects!$G$12="Yes",75&gt;=Projects!$C$12,75&lt;Projects!$C$12+Projects!$D$12),4736.84,0),Actuals!CB75)</f>
        <v/>
      </c>
      <c r="CB162" s="392">
        <f>IF(ISBLANK(Actuals!CC75),IF(AND(Projects!$G$12="Yes",76&gt;=Projects!$C$12,76&lt;Projects!$C$12+Projects!$D$12),4736.84,0),Actuals!CC75)</f>
        <v/>
      </c>
      <c r="CC162" s="392">
        <f>IF(ISBLANK(Actuals!CD75),IF(AND(Projects!$G$12="Yes",77&gt;=Projects!$C$12,77&lt;Projects!$C$12+Projects!$D$12),4736.84,0),Actuals!CD75)</f>
        <v/>
      </c>
      <c r="CD162" s="392">
        <f>IF(ISBLANK(Actuals!CE75),IF(AND(Projects!$G$12="Yes",78&gt;=Projects!$C$12,78&lt;Projects!$C$12+Projects!$D$12),4736.84,0),Actuals!CE75)</f>
        <v/>
      </c>
      <c r="CE162" s="392">
        <f>IF(ISBLANK(Actuals!CF75),IF(AND(Projects!$G$12="Yes",79&gt;=Projects!$C$12,79&lt;Projects!$C$12+Projects!$D$12),4736.84,0),Actuals!CF75)</f>
        <v/>
      </c>
      <c r="CF162" s="392">
        <f>IF(ISBLANK(Actuals!CG75),IF(AND(Projects!$G$12="Yes",80&gt;=Projects!$C$12,80&lt;Projects!$C$12+Projects!$D$12),4736.84,0),Actuals!CG75)</f>
        <v/>
      </c>
      <c r="CG162" s="392">
        <f>IF(ISBLANK(Actuals!CH75),IF(AND(Projects!$G$12="Yes",81&gt;=Projects!$C$12,81&lt;Projects!$C$12+Projects!$D$12),4736.84,0),Actuals!CH75)</f>
        <v/>
      </c>
      <c r="CH162" s="392">
        <f>IF(ISBLANK(Actuals!CI75),IF(AND(Projects!$G$12="Yes",82&gt;=Projects!$C$12,82&lt;Projects!$C$12+Projects!$D$12),4736.84,0),Actuals!CI75)</f>
        <v/>
      </c>
      <c r="CI162" s="392">
        <f>IF(ISBLANK(Actuals!CJ75),IF(AND(Projects!$G$12="Yes",83&gt;=Projects!$C$12,83&lt;Projects!$C$12+Projects!$D$12),4736.84,0),Actuals!CJ75)</f>
        <v/>
      </c>
      <c r="CJ162" s="392">
        <f>IF(ISBLANK(Actuals!CK75),IF(AND(Projects!$G$12="Yes",84&gt;=Projects!$C$12,84&lt;Projects!$C$12+Projects!$D$12),4736.84,0),Actuals!CK75)</f>
        <v/>
      </c>
      <c r="CK162" s="392">
        <f>IF(ISBLANK(Actuals!CL75),IF(AND(Projects!$G$12="Yes",85&gt;=Projects!$C$12,85&lt;Projects!$C$12+Projects!$D$12),4736.84,0),Actuals!CL75)</f>
        <v/>
      </c>
      <c r="CL162" s="392">
        <f>IF(ISBLANK(Actuals!CM75),IF(AND(Projects!$G$12="Yes",86&gt;=Projects!$C$12,86&lt;Projects!$C$12+Projects!$D$12),4736.84,0),Actuals!CM75)</f>
        <v/>
      </c>
      <c r="CM162" s="392">
        <f>IF(ISBLANK(Actuals!CN75),IF(AND(Projects!$G$12="Yes",87&gt;=Projects!$C$12,87&lt;Projects!$C$12+Projects!$D$12),4736.84,0),Actuals!CN75)</f>
        <v/>
      </c>
      <c r="CN162" s="392">
        <f>IF(ISBLANK(Actuals!CO75),IF(AND(Projects!$G$12="Yes",88&gt;=Projects!$C$12,88&lt;Projects!$C$12+Projects!$D$12),4736.84,0),Actuals!CO75)</f>
        <v/>
      </c>
      <c r="CO162" s="392">
        <f>IF(ISBLANK(Actuals!CP75),IF(AND(Projects!$G$12="Yes",89&gt;=Projects!$C$12,89&lt;Projects!$C$12+Projects!$D$12),4736.84,0),Actuals!CP75)</f>
        <v/>
      </c>
      <c r="CP162" s="392">
        <f>IF(ISBLANK(Actuals!CQ75),IF(AND(Projects!$G$12="Yes",90&gt;=Projects!$C$12,90&lt;Projects!$C$12+Projects!$D$12),4736.84,0),Actuals!CQ75)</f>
        <v/>
      </c>
      <c r="CQ162" s="392">
        <f>IF(ISBLANK(Actuals!CR75),IF(AND(Projects!$G$12="Yes",91&gt;=Projects!$C$12,91&lt;Projects!$C$12+Projects!$D$12),4736.84,0),Actuals!CR75)</f>
        <v/>
      </c>
      <c r="CR162" s="392">
        <f>IF(ISBLANK(Actuals!CS75),IF(AND(Projects!$G$12="Yes",92&gt;=Projects!$C$12,92&lt;Projects!$C$12+Projects!$D$12),4736.84,0),Actuals!CS75)</f>
        <v/>
      </c>
      <c r="CS162" s="392">
        <f>IF(ISBLANK(Actuals!CT75),IF(AND(Projects!$G$12="Yes",93&gt;=Projects!$C$12,93&lt;Projects!$C$12+Projects!$D$12),4736.84,0),Actuals!CT75)</f>
        <v/>
      </c>
      <c r="CT162" s="392">
        <f>IF(ISBLANK(Actuals!CU75),IF(AND(Projects!$G$12="Yes",94&gt;=Projects!$C$12,94&lt;Projects!$C$12+Projects!$D$12),4736.84,0),Actuals!CU75)</f>
        <v/>
      </c>
      <c r="CU162" s="392">
        <f>IF(ISBLANK(Actuals!CV75),IF(AND(Projects!$G$12="Yes",95&gt;=Projects!$C$12,95&lt;Projects!$C$12+Projects!$D$12),4736.84,0),Actuals!CV75)</f>
        <v/>
      </c>
      <c r="CV162" s="392">
        <f>IF(ISBLANK(Actuals!CW75),IF(AND(Projects!$G$12="Yes",96&gt;=Projects!$C$12,96&lt;Projects!$C$12+Projects!$D$12),4736.84,0),Actuals!CW75)</f>
        <v/>
      </c>
      <c r="CW162" s="392">
        <f>IF(ISBLANK(Actuals!CX75),IF(AND(Projects!$G$12="Yes",97&gt;=Projects!$C$12,97&lt;Projects!$C$12+Projects!$D$12),4736.84,0),Actuals!CX75)</f>
        <v/>
      </c>
      <c r="CX162" s="392">
        <f>IF(ISBLANK(Actuals!CY75),IF(AND(Projects!$G$12="Yes",98&gt;=Projects!$C$12,98&lt;Projects!$C$12+Projects!$D$12),4736.84,0),Actuals!CY75)</f>
        <v/>
      </c>
      <c r="CY162" s="392">
        <f>IF(ISBLANK(Actuals!CZ75),IF(AND(Projects!$G$12="Yes",99&gt;=Projects!$C$12,99&lt;Projects!$C$12+Projects!$D$12),4736.84,0),Actuals!CZ75)</f>
        <v/>
      </c>
      <c r="CZ162" s="392">
        <f>IF(ISBLANK(Actuals!DA75),IF(AND(Projects!$G$12="Yes",100&gt;=Projects!$C$12,100&lt;Projects!$C$12+Projects!$D$12),4736.84,0),Actuals!DA75)</f>
        <v/>
      </c>
      <c r="DA162" s="392">
        <f>IF(ISBLANK(Actuals!DB75),IF(AND(Projects!$G$12="Yes",101&gt;=Projects!$C$12,101&lt;Projects!$C$12+Projects!$D$12),4736.84,0),Actuals!DB75)</f>
        <v/>
      </c>
      <c r="DB162" s="392">
        <f>IF(ISBLANK(Actuals!DC75),IF(AND(Projects!$G$12="Yes",102&gt;=Projects!$C$12,102&lt;Projects!$C$12+Projects!$D$12),4736.84,0),Actuals!DC75)</f>
        <v/>
      </c>
      <c r="DC162" s="392">
        <f>IF(ISBLANK(Actuals!DD75),IF(AND(Projects!$G$12="Yes",103&gt;=Projects!$C$12,103&lt;Projects!$C$12+Projects!$D$12),4736.84,0),Actuals!DD75)</f>
        <v/>
      </c>
      <c r="DD162" s="392">
        <f>IF(ISBLANK(Actuals!DE75),IF(AND(Projects!$G$12="Yes",104&gt;=Projects!$C$12,104&lt;Projects!$C$12+Projects!$D$12),4736.84,0),Actuals!DE75)</f>
        <v/>
      </c>
      <c r="DE162" s="392">
        <f>IF(ISBLANK(Actuals!DF75),IF(AND(Projects!$G$12="Yes",105&gt;=Projects!$C$12,105&lt;Projects!$C$12+Projects!$D$12),4736.84,0),Actuals!DF75)</f>
        <v/>
      </c>
    </row>
    <row r="163" ht="15" customFormat="1" customHeight="1" s="380">
      <c r="A163" s="397" t="inlineStr">
        <is>
          <t>Scott Guarantee Fee</t>
        </is>
      </c>
      <c r="B163" s="392">
        <f>IF(ISBLANK(Actuals!C76),0,Actuals!C76)</f>
        <v/>
      </c>
      <c r="C163" s="392">
        <f>IF(ISBLANK(Actuals!D76),0,Actuals!D76)</f>
        <v/>
      </c>
      <c r="D163" s="392">
        <f>IF(ISBLANK(Actuals!E76),0,Actuals!E76)</f>
        <v/>
      </c>
      <c r="E163" s="392">
        <f>IF(ISBLANK(Actuals!F76),IF(AND(Projects!$G$12="Yes",1=Projects!$C$12),181745,0),Actuals!F76)</f>
        <v/>
      </c>
      <c r="F163" s="392">
        <f>IF(ISBLANK(Actuals!G76),IF(AND(Projects!$G$12="Yes",2=Projects!$C$12),181745,0),Actuals!G76)</f>
        <v/>
      </c>
      <c r="G163" s="392">
        <f>IF(ISBLANK(Actuals!H76),IF(AND(Projects!$G$12="Yes",3=Projects!$C$12),181745,0),Actuals!H76)</f>
        <v/>
      </c>
      <c r="H163" s="392">
        <f>IF(ISBLANK(Actuals!I76),IF(AND(Projects!$G$12="Yes",4=Projects!$C$12),181745,0),Actuals!I76)</f>
        <v/>
      </c>
      <c r="I163" s="392">
        <f>IF(ISBLANK(Actuals!J76),IF(AND(Projects!$G$12="Yes",5=Projects!$C$12),181745,0),Actuals!J76)</f>
        <v/>
      </c>
      <c r="J163" s="392">
        <f>IF(ISBLANK(Actuals!K76),IF(AND(Projects!$G$12="Yes",6=Projects!$C$12),181745,0),Actuals!K76)</f>
        <v/>
      </c>
      <c r="K163" s="392">
        <f>IF(ISBLANK(Actuals!L76),IF(AND(Projects!$G$12="Yes",7=Projects!$C$12),181745,0),Actuals!L76)</f>
        <v/>
      </c>
      <c r="L163" s="392">
        <f>IF(ISBLANK(Actuals!M76),IF(AND(Projects!$G$12="Yes",8=Projects!$C$12),181745,0),Actuals!M76)</f>
        <v/>
      </c>
      <c r="M163" s="392">
        <f>IF(ISBLANK(Actuals!N76),IF(AND(Projects!$G$12="Yes",9=Projects!$C$12),181745,0),Actuals!N76)</f>
        <v/>
      </c>
      <c r="N163" s="392">
        <f>IF(ISBLANK(Actuals!O76),IF(AND(Projects!$G$12="Yes",10=Projects!$C$12),181745,0),Actuals!O76)</f>
        <v/>
      </c>
      <c r="O163" s="392">
        <f>IF(ISBLANK(Actuals!P76),IF(AND(Projects!$G$12="Yes",11=Projects!$C$12),181745,0),Actuals!P76)</f>
        <v/>
      </c>
      <c r="P163" s="392">
        <f>IF(ISBLANK(Actuals!Q76),IF(AND(Projects!$G$12="Yes",12=Projects!$C$12),181745,0),Actuals!Q76)</f>
        <v/>
      </c>
      <c r="Q163" s="392">
        <f>IF(ISBLANK(Actuals!R76),IF(AND(Projects!$G$12="Yes",13=Projects!$C$12),181745,0),Actuals!R76)</f>
        <v/>
      </c>
      <c r="R163" s="392">
        <f>IF(ISBLANK(Actuals!S76),IF(AND(Projects!$G$12="Yes",14=Projects!$C$12),181745,0),Actuals!S76)</f>
        <v/>
      </c>
      <c r="S163" s="392">
        <f>IF(ISBLANK(Actuals!T76),IF(AND(Projects!$G$12="Yes",15=Projects!$C$12),181745,0),Actuals!T76)</f>
        <v/>
      </c>
      <c r="T163" s="392">
        <f>IF(ISBLANK(Actuals!U76),IF(AND(Projects!$G$12="Yes",16=Projects!$C$12),181745,0),Actuals!U76)</f>
        <v/>
      </c>
      <c r="U163" s="392">
        <f>IF(ISBLANK(Actuals!V76),IF(AND(Projects!$G$12="Yes",17=Projects!$C$12),181745,0),Actuals!V76)</f>
        <v/>
      </c>
      <c r="V163" s="392">
        <f>IF(ISBLANK(Actuals!W76),IF(AND(Projects!$G$12="Yes",18=Projects!$C$12),181745,0),Actuals!W76)</f>
        <v/>
      </c>
      <c r="W163" s="392">
        <f>IF(ISBLANK(Actuals!X76),IF(AND(Projects!$G$12="Yes",19=Projects!$C$12),181745,0),Actuals!X76)</f>
        <v/>
      </c>
      <c r="X163" s="392">
        <f>IF(ISBLANK(Actuals!Y76),IF(AND(Projects!$G$12="Yes",20=Projects!$C$12),181745,0),Actuals!Y76)</f>
        <v/>
      </c>
      <c r="Y163" s="392">
        <f>IF(ISBLANK(Actuals!Z76),IF(AND(Projects!$G$12="Yes",21=Projects!$C$12),181745,0),Actuals!Z76)</f>
        <v/>
      </c>
      <c r="Z163" s="392">
        <f>IF(ISBLANK(Actuals!AA76),IF(AND(Projects!$G$12="Yes",22=Projects!$C$12),181745,0),Actuals!AA76)</f>
        <v/>
      </c>
      <c r="AA163" s="392">
        <f>IF(ISBLANK(Actuals!AB76),IF(AND(Projects!$G$12="Yes",23=Projects!$C$12),181745,0),Actuals!AB76)</f>
        <v/>
      </c>
      <c r="AB163" s="392">
        <f>IF(ISBLANK(Actuals!AC76),IF(AND(Projects!$G$12="Yes",24=Projects!$C$12),181745,0),Actuals!AC76)</f>
        <v/>
      </c>
      <c r="AC163" s="392">
        <f>IF(ISBLANK(Actuals!AD76),IF(AND(Projects!$G$12="Yes",25=Projects!$C$12),181745,0),Actuals!AD76)</f>
        <v/>
      </c>
      <c r="AD163" s="392">
        <f>IF(ISBLANK(Actuals!AE76),IF(AND(Projects!$G$12="Yes",26=Projects!$C$12),181745,0),Actuals!AE76)</f>
        <v/>
      </c>
      <c r="AE163" s="392">
        <f>IF(ISBLANK(Actuals!AF76),IF(AND(Projects!$G$12="Yes",27=Projects!$C$12),181745,0),Actuals!AF76)</f>
        <v/>
      </c>
      <c r="AF163" s="392">
        <f>IF(ISBLANK(Actuals!AG76),IF(AND(Projects!$G$12="Yes",28=Projects!$C$12),181745,0),Actuals!AG76)</f>
        <v/>
      </c>
      <c r="AG163" s="392">
        <f>IF(ISBLANK(Actuals!AH76),IF(AND(Projects!$G$12="Yes",29=Projects!$C$12),181745,0),Actuals!AH76)</f>
        <v/>
      </c>
      <c r="AH163" s="392">
        <f>IF(ISBLANK(Actuals!AI76),IF(AND(Projects!$G$12="Yes",30=Projects!$C$12),181745,0),Actuals!AI76)</f>
        <v/>
      </c>
      <c r="AI163" s="392">
        <f>IF(ISBLANK(Actuals!AJ76),IF(AND(Projects!$G$12="Yes",31=Projects!$C$12),181745,0),Actuals!AJ76)</f>
        <v/>
      </c>
      <c r="AJ163" s="392">
        <f>IF(ISBLANK(Actuals!AK76),IF(AND(Projects!$G$12="Yes",32=Projects!$C$12),181745,0),Actuals!AK76)</f>
        <v/>
      </c>
      <c r="AK163" s="392">
        <f>IF(ISBLANK(Actuals!AL76),IF(AND(Projects!$G$12="Yes",33=Projects!$C$12),181745,0),Actuals!AL76)</f>
        <v/>
      </c>
      <c r="AL163" s="392">
        <f>IF(ISBLANK(Actuals!AM76),IF(AND(Projects!$G$12="Yes",34=Projects!$C$12),181745,0),Actuals!AM76)</f>
        <v/>
      </c>
      <c r="AM163" s="392">
        <f>IF(ISBLANK(Actuals!AN76),IF(AND(Projects!$G$12="Yes",35=Projects!$C$12),181745,0),Actuals!AN76)</f>
        <v/>
      </c>
      <c r="AN163" s="392">
        <f>IF(ISBLANK(Actuals!AO76),IF(AND(Projects!$G$12="Yes",36=Projects!$C$12),181745,0),Actuals!AO76)</f>
        <v/>
      </c>
      <c r="AO163" s="392">
        <f>IF(ISBLANK(Actuals!AP76),IF(AND(Projects!$G$12="Yes",37=Projects!$C$12),181745,0),Actuals!AP76)</f>
        <v/>
      </c>
      <c r="AP163" s="392">
        <f>IF(ISBLANK(Actuals!AQ76),IF(AND(Projects!$G$12="Yes",38=Projects!$C$12),181745,0),Actuals!AQ76)</f>
        <v/>
      </c>
      <c r="AQ163" s="392">
        <f>IF(ISBLANK(Actuals!AR76),IF(AND(Projects!$G$12="Yes",39=Projects!$C$12),181745,0),Actuals!AR76)</f>
        <v/>
      </c>
      <c r="AR163" s="392">
        <f>IF(ISBLANK(Actuals!AS76),IF(AND(Projects!$G$12="Yes",40=Projects!$C$12),181745,0),Actuals!AS76)</f>
        <v/>
      </c>
      <c r="AS163" s="392">
        <f>IF(ISBLANK(Actuals!AT76),IF(AND(Projects!$G$12="Yes",41=Projects!$C$12),181745,0),Actuals!AT76)</f>
        <v/>
      </c>
      <c r="AT163" s="392">
        <f>IF(ISBLANK(Actuals!AU76),IF(AND(Projects!$G$12="Yes",42=Projects!$C$12),181745,0),Actuals!AU76)</f>
        <v/>
      </c>
      <c r="AU163" s="392">
        <f>IF(ISBLANK(Actuals!AV76),IF(AND(Projects!$G$12="Yes",43=Projects!$C$12),181745,0),Actuals!AV76)</f>
        <v/>
      </c>
      <c r="AV163" s="392">
        <f>IF(ISBLANK(Actuals!AW76),IF(AND(Projects!$G$12="Yes",44=Projects!$C$12),181745,0),Actuals!AW76)</f>
        <v/>
      </c>
      <c r="AW163" s="392">
        <f>IF(ISBLANK(Actuals!AX76),IF(AND(Projects!$G$12="Yes",45=Projects!$C$12),181745,0),Actuals!AX76)</f>
        <v/>
      </c>
      <c r="AX163" s="392">
        <f>IF(ISBLANK(Actuals!AY76),IF(AND(Projects!$G$12="Yes",46=Projects!$C$12),181745,0),Actuals!AY76)</f>
        <v/>
      </c>
      <c r="AY163" s="392">
        <f>IF(ISBLANK(Actuals!AZ76),IF(AND(Projects!$G$12="Yes",47=Projects!$C$12),181745,0),Actuals!AZ76)</f>
        <v/>
      </c>
      <c r="AZ163" s="392">
        <f>IF(ISBLANK(Actuals!BA76),IF(AND(Projects!$G$12="Yes",48=Projects!$C$12),181745,0),Actuals!BA76)</f>
        <v/>
      </c>
      <c r="BA163" s="392">
        <f>IF(ISBLANK(Actuals!BB76),IF(AND(Projects!$G$12="Yes",49=Projects!$C$12),181745,0),Actuals!BB76)</f>
        <v/>
      </c>
      <c r="BB163" s="392">
        <f>IF(ISBLANK(Actuals!BC76),IF(AND(Projects!$G$12="Yes",50=Projects!$C$12),181745,0),Actuals!BC76)</f>
        <v/>
      </c>
      <c r="BC163" s="392">
        <f>IF(ISBLANK(Actuals!BD76),IF(AND(Projects!$G$12="Yes",51=Projects!$C$12),181745,0),Actuals!BD76)</f>
        <v/>
      </c>
      <c r="BD163" s="392">
        <f>IF(ISBLANK(Actuals!BE76),IF(AND(Projects!$G$12="Yes",52=Projects!$C$12),181745,0),Actuals!BE76)</f>
        <v/>
      </c>
      <c r="BE163" s="392">
        <f>IF(ISBLANK(Actuals!BF76),IF(AND(Projects!$G$12="Yes",53=Projects!$C$12),181745,0),Actuals!BF76)</f>
        <v/>
      </c>
      <c r="BF163" s="392">
        <f>IF(ISBLANK(Actuals!BG76),IF(AND(Projects!$G$12="Yes",54=Projects!$C$12),181745,0),Actuals!BG76)</f>
        <v/>
      </c>
      <c r="BG163" s="392">
        <f>IF(ISBLANK(Actuals!BH76),IF(AND(Projects!$G$12="Yes",55=Projects!$C$12),181745,0),Actuals!BH76)</f>
        <v/>
      </c>
      <c r="BH163" s="392">
        <f>IF(ISBLANK(Actuals!BI76),IF(AND(Projects!$G$12="Yes",56=Projects!$C$12),181745,0),Actuals!BI76)</f>
        <v/>
      </c>
      <c r="BI163" s="392">
        <f>IF(ISBLANK(Actuals!BJ76),IF(AND(Projects!$G$12="Yes",57=Projects!$C$12),181745,0),Actuals!BJ76)</f>
        <v/>
      </c>
      <c r="BJ163" s="392">
        <f>IF(ISBLANK(Actuals!BK76),IF(AND(Projects!$G$12="Yes",58=Projects!$C$12),181745,0),Actuals!BK76)</f>
        <v/>
      </c>
      <c r="BK163" s="392">
        <f>IF(ISBLANK(Actuals!BL76),IF(AND(Projects!$G$12="Yes",59=Projects!$C$12),181745,0),Actuals!BL76)</f>
        <v/>
      </c>
      <c r="BL163" s="392">
        <f>IF(ISBLANK(Actuals!BM76),IF(AND(Projects!$G$12="Yes",60=Projects!$C$12),181745,0),Actuals!BM76)</f>
        <v/>
      </c>
      <c r="BM163" s="392">
        <f>IF(ISBLANK(Actuals!BN76),IF(AND(Projects!$G$12="Yes",61=Projects!$C$12),181745,0),Actuals!BN76)</f>
        <v/>
      </c>
      <c r="BN163" s="392">
        <f>IF(ISBLANK(Actuals!BO76),IF(AND(Projects!$G$12="Yes",62=Projects!$C$12),181745,0),Actuals!BO76)</f>
        <v/>
      </c>
      <c r="BO163" s="392">
        <f>IF(ISBLANK(Actuals!BP76),IF(AND(Projects!$G$12="Yes",63=Projects!$C$12),181745,0),Actuals!BP76)</f>
        <v/>
      </c>
      <c r="BP163" s="392">
        <f>IF(ISBLANK(Actuals!BQ76),IF(AND(Projects!$G$12="Yes",64=Projects!$C$12),181745,0),Actuals!BQ76)</f>
        <v/>
      </c>
      <c r="BQ163" s="392">
        <f>IF(ISBLANK(Actuals!BR76),IF(AND(Projects!$G$12="Yes",65=Projects!$C$12),181745,0),Actuals!BR76)</f>
        <v/>
      </c>
      <c r="BR163" s="392">
        <f>IF(ISBLANK(Actuals!BS76),IF(AND(Projects!$G$12="Yes",66=Projects!$C$12),181745,0),Actuals!BS76)</f>
        <v/>
      </c>
      <c r="BS163" s="392">
        <f>IF(ISBLANK(Actuals!BT76),IF(AND(Projects!$G$12="Yes",67=Projects!$C$12),181745,0),Actuals!BT76)</f>
        <v/>
      </c>
      <c r="BT163" s="392">
        <f>IF(ISBLANK(Actuals!BU76),IF(AND(Projects!$G$12="Yes",68=Projects!$C$12),181745,0),Actuals!BU76)</f>
        <v/>
      </c>
      <c r="BU163" s="392">
        <f>IF(ISBLANK(Actuals!BV76),IF(AND(Projects!$G$12="Yes",69=Projects!$C$12),181745,0),Actuals!BV76)</f>
        <v/>
      </c>
      <c r="BV163" s="392">
        <f>IF(ISBLANK(Actuals!BW76),IF(AND(Projects!$G$12="Yes",70=Projects!$C$12),181745,0),Actuals!BW76)</f>
        <v/>
      </c>
      <c r="BW163" s="392">
        <f>IF(ISBLANK(Actuals!BX76),IF(AND(Projects!$G$12="Yes",71=Projects!$C$12),181745,0),Actuals!BX76)</f>
        <v/>
      </c>
      <c r="BX163" s="392">
        <f>IF(ISBLANK(Actuals!BY76),IF(AND(Projects!$G$12="Yes",72=Projects!$C$12),181745,0),Actuals!BY76)</f>
        <v/>
      </c>
      <c r="BY163" s="392">
        <f>IF(ISBLANK(Actuals!BZ76),IF(AND(Projects!$G$12="Yes",73=Projects!$C$12),181745,0),Actuals!BZ76)</f>
        <v/>
      </c>
      <c r="BZ163" s="392">
        <f>IF(ISBLANK(Actuals!CA76),IF(AND(Projects!$G$12="Yes",74=Projects!$C$12),181745,0),Actuals!CA76)</f>
        <v/>
      </c>
      <c r="CA163" s="392">
        <f>IF(ISBLANK(Actuals!CB76),IF(AND(Projects!$G$12="Yes",75=Projects!$C$12),181745,0),Actuals!CB76)</f>
        <v/>
      </c>
      <c r="CB163" s="392">
        <f>IF(ISBLANK(Actuals!CC76),IF(AND(Projects!$G$12="Yes",76=Projects!$C$12),181745,0),Actuals!CC76)</f>
        <v/>
      </c>
      <c r="CC163" s="392">
        <f>IF(ISBLANK(Actuals!CD76),IF(AND(Projects!$G$12="Yes",77=Projects!$C$12),181745,0),Actuals!CD76)</f>
        <v/>
      </c>
      <c r="CD163" s="392">
        <f>IF(ISBLANK(Actuals!CE76),IF(AND(Projects!$G$12="Yes",78=Projects!$C$12),181745,0),Actuals!CE76)</f>
        <v/>
      </c>
      <c r="CE163" s="392">
        <f>IF(ISBLANK(Actuals!CF76),IF(AND(Projects!$G$12="Yes",79=Projects!$C$12),181745,0),Actuals!CF76)</f>
        <v/>
      </c>
      <c r="CF163" s="392">
        <f>IF(ISBLANK(Actuals!CG76),IF(AND(Projects!$G$12="Yes",80=Projects!$C$12),181745,0),Actuals!CG76)</f>
        <v/>
      </c>
      <c r="CG163" s="392">
        <f>IF(ISBLANK(Actuals!CH76),IF(AND(Projects!$G$12="Yes",81=Projects!$C$12),181745,0),Actuals!CH76)</f>
        <v/>
      </c>
      <c r="CH163" s="392">
        <f>IF(ISBLANK(Actuals!CI76),IF(AND(Projects!$G$12="Yes",82=Projects!$C$12),181745,0),Actuals!CI76)</f>
        <v/>
      </c>
      <c r="CI163" s="392">
        <f>IF(ISBLANK(Actuals!CJ76),IF(AND(Projects!$G$12="Yes",83=Projects!$C$12),181745,0),Actuals!CJ76)</f>
        <v/>
      </c>
      <c r="CJ163" s="392">
        <f>IF(ISBLANK(Actuals!CK76),IF(AND(Projects!$G$12="Yes",84=Projects!$C$12),181745,0),Actuals!CK76)</f>
        <v/>
      </c>
      <c r="CK163" s="392">
        <f>IF(ISBLANK(Actuals!CL76),IF(AND(Projects!$G$12="Yes",85=Projects!$C$12),181745,0),Actuals!CL76)</f>
        <v/>
      </c>
      <c r="CL163" s="392">
        <f>IF(ISBLANK(Actuals!CM76),IF(AND(Projects!$G$12="Yes",86=Projects!$C$12),181745,0),Actuals!CM76)</f>
        <v/>
      </c>
      <c r="CM163" s="392">
        <f>IF(ISBLANK(Actuals!CN76),IF(AND(Projects!$G$12="Yes",87=Projects!$C$12),181745,0),Actuals!CN76)</f>
        <v/>
      </c>
      <c r="CN163" s="392">
        <f>IF(ISBLANK(Actuals!CO76),IF(AND(Projects!$G$12="Yes",88=Projects!$C$12),181745,0),Actuals!CO76)</f>
        <v/>
      </c>
      <c r="CO163" s="392">
        <f>IF(ISBLANK(Actuals!CP76),IF(AND(Projects!$G$12="Yes",89=Projects!$C$12),181745,0),Actuals!CP76)</f>
        <v/>
      </c>
      <c r="CP163" s="392">
        <f>IF(ISBLANK(Actuals!CQ76),IF(AND(Projects!$G$12="Yes",90=Projects!$C$12),181745,0),Actuals!CQ76)</f>
        <v/>
      </c>
      <c r="CQ163" s="392">
        <f>IF(ISBLANK(Actuals!CR76),IF(AND(Projects!$G$12="Yes",91=Projects!$C$12),181745,0),Actuals!CR76)</f>
        <v/>
      </c>
      <c r="CR163" s="392">
        <f>IF(ISBLANK(Actuals!CS76),IF(AND(Projects!$G$12="Yes",92=Projects!$C$12),181745,0),Actuals!CS76)</f>
        <v/>
      </c>
      <c r="CS163" s="392">
        <f>IF(ISBLANK(Actuals!CT76),IF(AND(Projects!$G$12="Yes",93=Projects!$C$12),181745,0),Actuals!CT76)</f>
        <v/>
      </c>
      <c r="CT163" s="392">
        <f>IF(ISBLANK(Actuals!CU76),IF(AND(Projects!$G$12="Yes",94=Projects!$C$12),181745,0),Actuals!CU76)</f>
        <v/>
      </c>
      <c r="CU163" s="392">
        <f>IF(ISBLANK(Actuals!CV76),IF(AND(Projects!$G$12="Yes",95=Projects!$C$12),181745,0),Actuals!CV76)</f>
        <v/>
      </c>
      <c r="CV163" s="392">
        <f>IF(ISBLANK(Actuals!CW76),IF(AND(Projects!$G$12="Yes",96=Projects!$C$12),181745,0),Actuals!CW76)</f>
        <v/>
      </c>
      <c r="CW163" s="392">
        <f>IF(ISBLANK(Actuals!CX76),IF(AND(Projects!$G$12="Yes",97=Projects!$C$12),181745,0),Actuals!CX76)</f>
        <v/>
      </c>
      <c r="CX163" s="392">
        <f>IF(ISBLANK(Actuals!CY76),IF(AND(Projects!$G$12="Yes",98=Projects!$C$12),181745,0),Actuals!CY76)</f>
        <v/>
      </c>
      <c r="CY163" s="392">
        <f>IF(ISBLANK(Actuals!CZ76),IF(AND(Projects!$G$12="Yes",99=Projects!$C$12),181745,0),Actuals!CZ76)</f>
        <v/>
      </c>
      <c r="CZ163" s="392">
        <f>IF(ISBLANK(Actuals!DA76),IF(AND(Projects!$G$12="Yes",100=Projects!$C$12),181745,0),Actuals!DA76)</f>
        <v/>
      </c>
      <c r="DA163" s="392">
        <f>IF(ISBLANK(Actuals!DB76),IF(AND(Projects!$G$12="Yes",101=Projects!$C$12),181745,0),Actuals!DB76)</f>
        <v/>
      </c>
      <c r="DB163" s="392">
        <f>IF(ISBLANK(Actuals!DC76),IF(AND(Projects!$G$12="Yes",102=Projects!$C$12),181745,0),Actuals!DC76)</f>
        <v/>
      </c>
      <c r="DC163" s="392">
        <f>IF(ISBLANK(Actuals!DD76),IF(AND(Projects!$G$12="Yes",103=Projects!$C$12),181745,0),Actuals!DD76)</f>
        <v/>
      </c>
      <c r="DD163" s="392">
        <f>IF(ISBLANK(Actuals!DE76),IF(AND(Projects!$G$12="Yes",104=Projects!$C$12),181745,0),Actuals!DE76)</f>
        <v/>
      </c>
      <c r="DE163" s="392">
        <f>IF(ISBLANK(Actuals!DF76),IF(AND(Projects!$G$12="Yes",105=Projects!$C$12),181745,0),Actuals!DF76)</f>
        <v/>
      </c>
    </row>
    <row r="164" ht="15" customFormat="1" customHeight="1" s="380">
      <c r="A164" s="397" t="inlineStr">
        <is>
          <t>Francis LIHTC Revenue (SP Share)</t>
        </is>
      </c>
      <c r="B164" s="392">
        <f>IF(ISBLANK(Actuals!C77),0,Actuals!C77)</f>
        <v/>
      </c>
      <c r="C164" s="392">
        <f>IF(ISBLANK(Actuals!D77),0,Actuals!D77)</f>
        <v/>
      </c>
      <c r="D164" s="392">
        <f>IF(ISBLANK(Actuals!E77),0,Actuals!E77)</f>
        <v/>
      </c>
      <c r="E164" s="392">
        <f>IF(ISBLANK(Actuals!F77),0,Actuals!F77)</f>
        <v/>
      </c>
      <c r="F164" s="392">
        <f>IF(ISBLANK(Actuals!G77),0,Actuals!G77)</f>
        <v/>
      </c>
      <c r="G164" s="392">
        <f>IF(ISBLANK(Actuals!H77),0,Actuals!H77)</f>
        <v/>
      </c>
      <c r="H164" s="392">
        <f>IF(ISBLANK(Actuals!I77),0,Actuals!I77)</f>
        <v/>
      </c>
      <c r="I164" s="392">
        <f>IF(ISBLANK(Actuals!J77),0,Actuals!J77)</f>
        <v/>
      </c>
      <c r="J164" s="392">
        <f>IF(ISBLANK(Actuals!K77),0,Actuals!K77)</f>
        <v/>
      </c>
      <c r="K164" s="392">
        <f>IF(ISBLANK(Actuals!L77),0,Actuals!L77)</f>
        <v/>
      </c>
      <c r="L164" s="392">
        <f>IF(ISBLANK(Actuals!M77),0,Actuals!M77)</f>
        <v/>
      </c>
      <c r="M164" s="392">
        <f>IF(ISBLANK(Actuals!N77),0,Actuals!N77)</f>
        <v/>
      </c>
      <c r="N164" s="392">
        <f>IF(ISBLANK(Actuals!O77),0,Actuals!O77)</f>
        <v/>
      </c>
      <c r="O164" s="392">
        <f>IF(ISBLANK(Actuals!P77),0,Actuals!P77)</f>
        <v/>
      </c>
      <c r="P164" s="392">
        <f>IF(ISBLANK(Actuals!Q77),0,Actuals!Q77)</f>
        <v/>
      </c>
      <c r="Q164" s="392">
        <f>IF(ISBLANK(Actuals!R77),0,Actuals!R77)</f>
        <v/>
      </c>
      <c r="R164" s="392">
        <f>IF(ISBLANK(Actuals!S77),0,Actuals!S77)</f>
        <v/>
      </c>
      <c r="S164" s="392">
        <f>IF(ISBLANK(Actuals!T77),0,Actuals!T77)</f>
        <v/>
      </c>
      <c r="T164" s="392">
        <f>IF(ISBLANK(Actuals!U77),0,Actuals!U77)</f>
        <v/>
      </c>
      <c r="U164" s="392">
        <f>IF(ISBLANK(Actuals!V77),0,Actuals!V77)</f>
        <v/>
      </c>
      <c r="V164" s="392">
        <f>IF(ISBLANK(Actuals!W77),0,Actuals!W77)</f>
        <v/>
      </c>
      <c r="W164" s="392">
        <f>IF(ISBLANK(Actuals!X77),0,Actuals!X77)</f>
        <v/>
      </c>
      <c r="X164" s="392">
        <f>IF(ISBLANK(Actuals!Y77),0,Actuals!Y77)</f>
        <v/>
      </c>
      <c r="Y164" s="392">
        <f>IF(ISBLANK(Actuals!Z77),0,Actuals!Z77)</f>
        <v/>
      </c>
      <c r="Z164" s="392">
        <f>IF(ISBLANK(Actuals!AA77),0,Actuals!AA77)</f>
        <v/>
      </c>
      <c r="AA164" s="392">
        <f>IF(ISBLANK(Actuals!AB77),0,Actuals!AB77)</f>
        <v/>
      </c>
      <c r="AB164" s="392">
        <f>IF(ISBLANK(Actuals!AC77),0,Actuals!AC77)</f>
        <v/>
      </c>
      <c r="AC164" s="392">
        <f>IF(ISBLANK(Actuals!AD77),0,Actuals!AD77)</f>
        <v/>
      </c>
      <c r="AD164" s="392">
        <f>IF(ISBLANK(Actuals!AE77),0,Actuals!AE77)</f>
        <v/>
      </c>
      <c r="AE164" s="392">
        <f>IF(ISBLANK(Actuals!AF77),0,Actuals!AF77)</f>
        <v/>
      </c>
      <c r="AF164" s="392">
        <f>IF(ISBLANK(Actuals!AG77),0,Actuals!AG77)</f>
        <v/>
      </c>
      <c r="AG164" s="392">
        <f>IF(ISBLANK(Actuals!AH77),0,Actuals!AH77)</f>
        <v/>
      </c>
      <c r="AH164" s="392">
        <f>IF(ISBLANK(Actuals!AI77),0,Actuals!AI77)</f>
        <v/>
      </c>
      <c r="AI164" s="392">
        <f>IF(ISBLANK(Actuals!AJ77),0,Actuals!AJ77)</f>
        <v/>
      </c>
      <c r="AJ164" s="392">
        <f>IF(ISBLANK(Actuals!AK77),0,Actuals!AK77)</f>
        <v/>
      </c>
      <c r="AK164" s="392">
        <f>IF(ISBLANK(Actuals!AL77),0,Actuals!AL77)</f>
        <v/>
      </c>
      <c r="AL164" s="392">
        <f>IF(ISBLANK(Actuals!AM77),0,Actuals!AM77)</f>
        <v/>
      </c>
      <c r="AM164" s="392">
        <f>IF(ISBLANK(Actuals!AN77),0,Actuals!AN77)</f>
        <v/>
      </c>
      <c r="AN164" s="392">
        <f>IF(ISBLANK(Actuals!AO77),0,Actuals!AO77)</f>
        <v/>
      </c>
      <c r="AO164" s="392">
        <f>IF(ISBLANK(Actuals!AP77),0,Actuals!AP77)</f>
        <v/>
      </c>
      <c r="AP164" s="392">
        <f>IF(ISBLANK(Actuals!AQ77),0,Actuals!AQ77)</f>
        <v/>
      </c>
      <c r="AQ164" s="392">
        <f>IF(ISBLANK(Actuals!AR77),0,Actuals!AR77)</f>
        <v/>
      </c>
      <c r="AR164" s="392">
        <f>IF(ISBLANK(Actuals!AS77),0,Actuals!AS77)</f>
        <v/>
      </c>
      <c r="AS164" s="392">
        <f>IF(ISBLANK(Actuals!AT77),0,Actuals!AT77)</f>
        <v/>
      </c>
      <c r="AT164" s="392">
        <f>IF(ISBLANK(Actuals!AU77),IF(Projects!$G$7="Yes",81683,0),Actuals!AU77)</f>
        <v/>
      </c>
      <c r="AU164" s="392">
        <f>IF(ISBLANK(Actuals!AV77),0,Actuals!AV77)</f>
        <v/>
      </c>
      <c r="AV164" s="392">
        <f>IF(ISBLANK(Actuals!AW77),0,Actuals!AW77)</f>
        <v/>
      </c>
      <c r="AW164" s="392">
        <f>IF(ISBLANK(Actuals!AX77),IF(Projects!$G$7="Yes",81682,0),Actuals!AX77)</f>
        <v/>
      </c>
      <c r="AX164" s="392">
        <f>IF(ISBLANK(Actuals!AY77),0,Actuals!AY77)</f>
        <v/>
      </c>
      <c r="AY164" s="392">
        <f>IF(ISBLANK(Actuals!AZ77),0,Actuals!AZ77)</f>
        <v/>
      </c>
      <c r="AZ164" s="392">
        <f>IF(ISBLANK(Actuals!BA77),IF(Projects!$G$7="Yes",81682,0),Actuals!BA77)</f>
        <v/>
      </c>
      <c r="BA164" s="392">
        <f>IF(ISBLANK(Actuals!BB77),0,Actuals!BB77)</f>
        <v/>
      </c>
      <c r="BB164" s="392">
        <f>IF(ISBLANK(Actuals!BC77),0,Actuals!BC77)</f>
        <v/>
      </c>
      <c r="BC164" s="392">
        <f>IF(ISBLANK(Actuals!BD77),IF(Projects!$G$7="Yes",81682,0),Actuals!BD77)</f>
        <v/>
      </c>
      <c r="BD164" s="392">
        <f>IF(ISBLANK(Actuals!BE77),0,Actuals!BE77)</f>
        <v/>
      </c>
      <c r="BE164" s="392">
        <f>IF(ISBLANK(Actuals!BF77),0,Actuals!BF77)</f>
        <v/>
      </c>
      <c r="BF164" s="392">
        <f>IF(ISBLANK(Actuals!BG77),IF(Projects!$G$7="Yes",59178,0),Actuals!BG77)</f>
        <v/>
      </c>
      <c r="BG164" s="392">
        <f>IF(ISBLANK(Actuals!BH77),0,Actuals!BH77)</f>
        <v/>
      </c>
      <c r="BH164" s="392">
        <f>IF(ISBLANK(Actuals!BI77),0,Actuals!BI77)</f>
        <v/>
      </c>
      <c r="BI164" s="392">
        <f>IF(ISBLANK(Actuals!BJ77),IF(Projects!$G$7="Yes",59176,0),Actuals!BJ77)</f>
        <v/>
      </c>
      <c r="BJ164" s="392">
        <f>IF(ISBLANK(Actuals!BK77),0,Actuals!BK77)</f>
        <v/>
      </c>
      <c r="BK164" s="392">
        <f>IF(ISBLANK(Actuals!BL77),0,Actuals!BL77)</f>
        <v/>
      </c>
      <c r="BL164" s="392">
        <f>IF(ISBLANK(Actuals!BM77),IF(Projects!$G$7="Yes",59176,0),Actuals!BM77)</f>
        <v/>
      </c>
      <c r="BM164" s="392">
        <f>IF(ISBLANK(Actuals!BN77),0,Actuals!BN77)</f>
        <v/>
      </c>
      <c r="BN164" s="392">
        <f>IF(ISBLANK(Actuals!BO77),0,Actuals!BO77)</f>
        <v/>
      </c>
      <c r="BO164" s="392">
        <f>IF(ISBLANK(Actuals!BP77),IF(Projects!$G$7="Yes",59176,0),Actuals!BP77)</f>
        <v/>
      </c>
      <c r="BP164" s="392">
        <f>IF(ISBLANK(Actuals!BQ77),0,Actuals!BQ77)</f>
        <v/>
      </c>
      <c r="BQ164" s="392">
        <f>IF(ISBLANK(Actuals!BR77),0,Actuals!BR77)</f>
        <v/>
      </c>
      <c r="BR164" s="392">
        <f>IF(ISBLANK(Actuals!BS77),IF(Projects!$G$7="Yes",67763,0),Actuals!BS77)</f>
        <v/>
      </c>
      <c r="BS164" s="392">
        <f>IF(ISBLANK(Actuals!BT77),0,Actuals!BT77)</f>
        <v/>
      </c>
      <c r="BT164" s="392">
        <f>IF(ISBLANK(Actuals!BU77),0,Actuals!BU77)</f>
        <v/>
      </c>
      <c r="BU164" s="392">
        <f>IF(ISBLANK(Actuals!BV77),IF(Projects!$G$7="Yes",67762,0),Actuals!BV77)</f>
        <v/>
      </c>
      <c r="BV164" s="392">
        <f>IF(ISBLANK(Actuals!BW77),0,Actuals!BW77)</f>
        <v/>
      </c>
      <c r="BW164" s="392">
        <f>IF(ISBLANK(Actuals!BX77),0,Actuals!BX77)</f>
        <v/>
      </c>
      <c r="BX164" s="392">
        <f>IF(ISBLANK(Actuals!BY77),IF(Projects!$G$7="Yes",67762,0),Actuals!BY77)</f>
        <v/>
      </c>
      <c r="BY164" s="392">
        <f>IF(ISBLANK(Actuals!BZ77),0,Actuals!BZ77)</f>
        <v/>
      </c>
      <c r="BZ164" s="392">
        <f>IF(ISBLANK(Actuals!CA77),0,Actuals!CA77)</f>
        <v/>
      </c>
      <c r="CA164" s="392">
        <f>IF(ISBLANK(Actuals!CB77),IF(Projects!$G$7="Yes",67762,0),Actuals!CB77)</f>
        <v/>
      </c>
      <c r="CB164" s="392">
        <f>IF(ISBLANK(Actuals!CC77),0,Actuals!CC77)</f>
        <v/>
      </c>
      <c r="CC164" s="392">
        <f>IF(ISBLANK(Actuals!CD77),0,Actuals!CD77)</f>
        <v/>
      </c>
      <c r="CD164" s="392">
        <f>IF(ISBLANK(Actuals!CE77),IF(Projects!$G$7="Yes",76499,0),Actuals!CE77)</f>
        <v/>
      </c>
      <c r="CE164" s="392">
        <f>IF(ISBLANK(Actuals!CF77),0,Actuals!CF77)</f>
        <v/>
      </c>
      <c r="CF164" s="392">
        <f>IF(ISBLANK(Actuals!CG77),0,Actuals!CG77)</f>
        <v/>
      </c>
      <c r="CG164" s="392">
        <f>IF(ISBLANK(Actuals!CH77),IF(Projects!$G$7="Yes",76499,0),Actuals!CH77)</f>
        <v/>
      </c>
      <c r="CH164" s="392">
        <f>IF(ISBLANK(Actuals!CI77),0,Actuals!CI77)</f>
        <v/>
      </c>
      <c r="CI164" s="392">
        <f>IF(ISBLANK(Actuals!CJ77),0,Actuals!CJ77)</f>
        <v/>
      </c>
      <c r="CJ164" s="392">
        <f>IF(ISBLANK(Actuals!CK77),IF(Projects!$G$7="Yes",76499,0),Actuals!CK77)</f>
        <v/>
      </c>
      <c r="CK164" s="392">
        <f>IF(ISBLANK(Actuals!CL77),IF(Projects!$G$7="Yes",76499,0),Actuals!CL77)</f>
        <v/>
      </c>
      <c r="CL164" s="392">
        <f>IF(ISBLANK(Actuals!CM77),IF(Projects!$G$7="Yes",76499,0),Actuals!CM77)</f>
        <v/>
      </c>
      <c r="CM164" s="392">
        <f>IF(ISBLANK(Actuals!CN77),IF(Projects!$G$7="Yes",76499,0),Actuals!CN77)</f>
        <v/>
      </c>
      <c r="CN164" s="392">
        <f>IF(ISBLANK(Actuals!CO77),IF(Projects!$G$7="Yes",76499,0),Actuals!CO77)</f>
        <v/>
      </c>
      <c r="CO164" s="392">
        <f>IF(ISBLANK(Actuals!CP77),IF(Projects!$G$7="Yes",76499,0),Actuals!CP77)</f>
        <v/>
      </c>
      <c r="CP164" s="392">
        <f>IF(ISBLANK(Actuals!CQ77),IF(Projects!$G$7="Yes",76499,0),Actuals!CQ77)</f>
        <v/>
      </c>
      <c r="CQ164" s="392">
        <f>IF(ISBLANK(Actuals!CR77),IF(Projects!$G$7="Yes",76499,0),Actuals!CR77)</f>
        <v/>
      </c>
      <c r="CR164" s="392">
        <f>IF(ISBLANK(Actuals!CS77),IF(Projects!$G$7="Yes",76499,0),Actuals!CS77)</f>
        <v/>
      </c>
      <c r="CS164" s="392">
        <f>IF(ISBLANK(Actuals!CT77),IF(Projects!$G$7="Yes",76499,0),Actuals!CT77)</f>
        <v/>
      </c>
      <c r="CT164" s="392">
        <f>IF(ISBLANK(Actuals!CU77),IF(Projects!$G$7="Yes",76499,0),Actuals!CU77)</f>
        <v/>
      </c>
      <c r="CU164" s="392">
        <f>IF(ISBLANK(Actuals!CV77),IF(Projects!$G$7="Yes",76499,0),Actuals!CV77)</f>
        <v/>
      </c>
      <c r="CV164" s="392">
        <f>IF(ISBLANK(Actuals!CW77),IF(Projects!$G$7="Yes",76499,0),Actuals!CW77)</f>
        <v/>
      </c>
      <c r="CW164" s="392">
        <f>IF(ISBLANK(Actuals!CX77),IF(Projects!$G$7="Yes",76499,0),Actuals!CX77)</f>
        <v/>
      </c>
      <c r="CX164" s="392">
        <f>IF(ISBLANK(Actuals!CY77),IF(Projects!$G$7="Yes",76499,0),Actuals!CY77)</f>
        <v/>
      </c>
      <c r="CY164" s="392">
        <f>IF(ISBLANK(Actuals!CZ77),IF(Projects!$G$7="Yes",76499,0),Actuals!CZ77)</f>
        <v/>
      </c>
      <c r="CZ164" s="392">
        <f>IF(ISBLANK(Actuals!DA77),IF(Projects!$G$7="Yes",76499,0),Actuals!DA77)</f>
        <v/>
      </c>
      <c r="DA164" s="392">
        <f>IF(ISBLANK(Actuals!DB77),IF(Projects!$G$7="Yes",76499,0),Actuals!DB77)</f>
        <v/>
      </c>
      <c r="DB164" s="392">
        <f>IF(ISBLANK(Actuals!DC77),IF(Projects!$G$7="Yes",76499,0),Actuals!DC77)</f>
        <v/>
      </c>
      <c r="DC164" s="392">
        <f>IF(ISBLANK(Actuals!DD77),IF(Projects!$G$7="Yes",76499,0),Actuals!DD77)</f>
        <v/>
      </c>
      <c r="DD164" s="392">
        <f>IF(ISBLANK(Actuals!DE77),IF(Projects!$G$7="Yes",76499,0),Actuals!DE77)</f>
        <v/>
      </c>
      <c r="DE164" s="392">
        <f>IF(ISBLANK(Actuals!DF77),IF(Projects!$G$7="Yes",76499,0),Actuals!DF77)</f>
        <v/>
      </c>
    </row>
    <row r="165" ht="15" customFormat="1" customHeight="1" s="380">
      <c r="A165" s="397" t="inlineStr">
        <is>
          <t>Reseda LIHTC Revenue (SP Share)</t>
        </is>
      </c>
      <c r="B165" s="392">
        <f>IF(ISBLANK(Actuals!C78),0,Actuals!C78)</f>
        <v/>
      </c>
      <c r="C165" s="392">
        <f>IF(ISBLANK(Actuals!D78),0,Actuals!D78)</f>
        <v/>
      </c>
      <c r="D165" s="392">
        <f>IF(ISBLANK(Actuals!E78),0,Actuals!E78)</f>
        <v/>
      </c>
      <c r="E165" s="392">
        <f>IF(ISBLANK(Actuals!F78),0,Actuals!F78)</f>
        <v/>
      </c>
      <c r="F165" s="392">
        <f>IF(ISBLANK(Actuals!G78),0,Actuals!G78)</f>
        <v/>
      </c>
      <c r="G165" s="392">
        <f>IF(ISBLANK(Actuals!H78),0,Actuals!H78)</f>
        <v/>
      </c>
      <c r="H165" s="392">
        <f>IF(ISBLANK(Actuals!I78),0,Actuals!I78)</f>
        <v/>
      </c>
      <c r="I165" s="392">
        <f>IF(ISBLANK(Actuals!J78),0,Actuals!J78)</f>
        <v/>
      </c>
      <c r="J165" s="392">
        <f>IF(ISBLANK(Actuals!K78),0,Actuals!K78)</f>
        <v/>
      </c>
      <c r="K165" s="392">
        <f>IF(ISBLANK(Actuals!L78),0,Actuals!L78)</f>
        <v/>
      </c>
      <c r="L165" s="392">
        <f>IF(ISBLANK(Actuals!M78),0,Actuals!M78)</f>
        <v/>
      </c>
      <c r="M165" s="392">
        <f>IF(ISBLANK(Actuals!N78),0,Actuals!N78)</f>
        <v/>
      </c>
      <c r="N165" s="392">
        <f>IF(ISBLANK(Actuals!O78),0,Actuals!O78)</f>
        <v/>
      </c>
      <c r="O165" s="392">
        <f>IF(ISBLANK(Actuals!P78),0,Actuals!P78)</f>
        <v/>
      </c>
      <c r="P165" s="392">
        <f>IF(ISBLANK(Actuals!Q78),0,Actuals!Q78)</f>
        <v/>
      </c>
      <c r="Q165" s="392">
        <f>IF(ISBLANK(Actuals!R78),0,Actuals!R78)</f>
        <v/>
      </c>
      <c r="R165" s="392">
        <f>IF(ISBLANK(Actuals!S78),0,Actuals!S78)</f>
        <v/>
      </c>
      <c r="S165" s="392">
        <f>IF(ISBLANK(Actuals!T78),0,Actuals!T78)</f>
        <v/>
      </c>
      <c r="T165" s="392">
        <f>IF(ISBLANK(Actuals!U78),0,Actuals!U78)</f>
        <v/>
      </c>
      <c r="U165" s="392">
        <f>IF(ISBLANK(Actuals!V78),0,Actuals!V78)</f>
        <v/>
      </c>
      <c r="V165" s="392">
        <f>IF(ISBLANK(Actuals!W78),0,Actuals!W78)</f>
        <v/>
      </c>
      <c r="W165" s="392">
        <f>IF(ISBLANK(Actuals!X78),0,Actuals!X78)</f>
        <v/>
      </c>
      <c r="X165" s="392">
        <f>IF(ISBLANK(Actuals!Y78),0,Actuals!Y78)</f>
        <v/>
      </c>
      <c r="Y165" s="392">
        <f>IF(ISBLANK(Actuals!Z78),0,Actuals!Z78)</f>
        <v/>
      </c>
      <c r="Z165" s="392">
        <f>IF(ISBLANK(Actuals!AA78),0,Actuals!AA78)</f>
        <v/>
      </c>
      <c r="AA165" s="392">
        <f>IF(ISBLANK(Actuals!AB78),0,Actuals!AB78)</f>
        <v/>
      </c>
      <c r="AB165" s="392">
        <f>IF(ISBLANK(Actuals!AC78),0,Actuals!AC78)</f>
        <v/>
      </c>
      <c r="AC165" s="392">
        <f>IF(ISBLANK(Actuals!AD78),0,Actuals!AD78)</f>
        <v/>
      </c>
      <c r="AD165" s="392">
        <f>IF(ISBLANK(Actuals!AE78),0,Actuals!AE78)</f>
        <v/>
      </c>
      <c r="AE165" s="392">
        <f>IF(ISBLANK(Actuals!AF78),0,Actuals!AF78)</f>
        <v/>
      </c>
      <c r="AF165" s="392">
        <f>IF(ISBLANK(Actuals!AG78),0,Actuals!AG78)</f>
        <v/>
      </c>
      <c r="AG165" s="392">
        <f>IF(ISBLANK(Actuals!AH78),0,Actuals!AH78)</f>
        <v/>
      </c>
      <c r="AH165" s="392">
        <f>IF(ISBLANK(Actuals!AI78),0,Actuals!AI78)</f>
        <v/>
      </c>
      <c r="AI165" s="392">
        <f>IF(ISBLANK(Actuals!AJ78),0,Actuals!AJ78)</f>
        <v/>
      </c>
      <c r="AJ165" s="392">
        <f>IF(ISBLANK(Actuals!AK78),0,Actuals!AK78)</f>
        <v/>
      </c>
      <c r="AK165" s="392">
        <f>IF(ISBLANK(Actuals!AL78),0,Actuals!AL78)</f>
        <v/>
      </c>
      <c r="AL165" s="392">
        <f>IF(ISBLANK(Actuals!AM78),0,Actuals!AM78)</f>
        <v/>
      </c>
      <c r="AM165" s="392">
        <f>IF(ISBLANK(Actuals!AN78),0,Actuals!AN78)</f>
        <v/>
      </c>
      <c r="AN165" s="392">
        <f>IF(ISBLANK(Actuals!AO78),0,Actuals!AO78)</f>
        <v/>
      </c>
      <c r="AO165" s="392">
        <f>IF(ISBLANK(Actuals!AP78),0,Actuals!AP78)</f>
        <v/>
      </c>
      <c r="AP165" s="392">
        <f>IF(ISBLANK(Actuals!AQ78),0,Actuals!AQ78)</f>
        <v/>
      </c>
      <c r="AQ165" s="392">
        <f>IF(ISBLANK(Actuals!AR78),0,Actuals!AR78)</f>
        <v/>
      </c>
      <c r="AR165" s="392">
        <f>IF(ISBLANK(Actuals!AS78),0,Actuals!AS78)</f>
        <v/>
      </c>
      <c r="AS165" s="392">
        <f>IF(ISBLANK(Actuals!AT78),0,Actuals!AT78)</f>
        <v/>
      </c>
      <c r="AT165" s="392">
        <f>IF(ISBLANK(Actuals!AU78),0,Actuals!AU78)</f>
        <v/>
      </c>
      <c r="AU165" s="392">
        <f>IF(ISBLANK(Actuals!AV78),0,Actuals!AV78)</f>
        <v/>
      </c>
      <c r="AV165" s="392">
        <f>IF(ISBLANK(Actuals!AW78),0,Actuals!AW78)</f>
        <v/>
      </c>
      <c r="AW165" s="392">
        <f>IF(ISBLANK(Actuals!AX78),0,Actuals!AX78)</f>
        <v/>
      </c>
      <c r="AX165" s="392">
        <f>IF(ISBLANK(Actuals!AY78),0,Actuals!AY78)</f>
        <v/>
      </c>
      <c r="AY165" s="392">
        <f>IF(ISBLANK(Actuals!AZ78),0,Actuals!AZ78)</f>
        <v/>
      </c>
      <c r="AZ165" s="392">
        <f>IF(ISBLANK(Actuals!BA78),0,Actuals!BA78)</f>
        <v/>
      </c>
      <c r="BA165" s="392">
        <f>IF(ISBLANK(Actuals!BB78),0,Actuals!BB78)</f>
        <v/>
      </c>
      <c r="BB165" s="392">
        <f>IF(ISBLANK(Actuals!BC78),0,Actuals!BC78)</f>
        <v/>
      </c>
      <c r="BC165" s="392">
        <f>IF(ISBLANK(Actuals!BD78),IF(Projects!$G$13="Yes",851839,0),Actuals!BD78)</f>
        <v/>
      </c>
      <c r="BD165" s="392">
        <f>IF(ISBLANK(Actuals!BE78),0,Actuals!BE78)</f>
        <v/>
      </c>
      <c r="BE165" s="392">
        <f>IF(ISBLANK(Actuals!BF78),0,Actuals!BF78)</f>
        <v/>
      </c>
      <c r="BF165" s="392">
        <f>IF(ISBLANK(Actuals!BG78),IF(Projects!$G$13="Yes",71700,0),Actuals!BG78)</f>
        <v/>
      </c>
      <c r="BG165" s="392">
        <f>IF(ISBLANK(Actuals!BH78),0,Actuals!BH78)</f>
        <v/>
      </c>
      <c r="BH165" s="392">
        <f>IF(ISBLANK(Actuals!BI78),0,Actuals!BI78)</f>
        <v/>
      </c>
      <c r="BI165" s="392">
        <f>IF(ISBLANK(Actuals!BJ78),IF(Projects!$G$13="Yes",71700,0),Actuals!BJ78)</f>
        <v/>
      </c>
      <c r="BJ165" s="392">
        <f>IF(ISBLANK(Actuals!BK78),0,Actuals!BK78)</f>
        <v/>
      </c>
      <c r="BK165" s="392">
        <f>IF(ISBLANK(Actuals!BL78),0,Actuals!BL78)</f>
        <v/>
      </c>
      <c r="BL165" s="392">
        <f>IF(ISBLANK(Actuals!BM78),IF(Projects!$G$13="Yes",71700,0),Actuals!BM78)</f>
        <v/>
      </c>
      <c r="BM165" s="392">
        <f>IF(ISBLANK(Actuals!BN78),0,Actuals!BN78)</f>
        <v/>
      </c>
      <c r="BN165" s="392">
        <f>IF(ISBLANK(Actuals!BO78),0,Actuals!BO78)</f>
        <v/>
      </c>
      <c r="BO165" s="392">
        <f>IF(ISBLANK(Actuals!BP78),IF(Projects!$G$13="Yes",71700,0),Actuals!BP78)</f>
        <v/>
      </c>
      <c r="BP165" s="392">
        <f>IF(ISBLANK(Actuals!BQ78),0,Actuals!BQ78)</f>
        <v/>
      </c>
      <c r="BQ165" s="392">
        <f>IF(ISBLANK(Actuals!BR78),0,Actuals!BR78)</f>
        <v/>
      </c>
      <c r="BR165" s="392">
        <f>IF(ISBLANK(Actuals!BS78),IF(Projects!$G$13="Yes",74643,0),Actuals!BS78)</f>
        <v/>
      </c>
      <c r="BS165" s="392">
        <f>IF(ISBLANK(Actuals!BT78),0,Actuals!BT78)</f>
        <v/>
      </c>
      <c r="BT165" s="392">
        <f>IF(ISBLANK(Actuals!BU78),0,Actuals!BU78)</f>
        <v/>
      </c>
      <c r="BU165" s="392">
        <f>IF(ISBLANK(Actuals!BV78),IF(Projects!$G$13="Yes",74640,0),Actuals!BV78)</f>
        <v/>
      </c>
      <c r="BV165" s="392">
        <f>IF(ISBLANK(Actuals!BW78),0,Actuals!BW78)</f>
        <v/>
      </c>
      <c r="BW165" s="392">
        <f>IF(ISBLANK(Actuals!BX78),0,Actuals!BX78)</f>
        <v/>
      </c>
      <c r="BX165" s="392">
        <f>IF(ISBLANK(Actuals!BY78),IF(Projects!$G$13="Yes",74640,0),Actuals!BY78)</f>
        <v/>
      </c>
      <c r="BY165" s="392">
        <f>IF(ISBLANK(Actuals!BZ78),0,Actuals!BZ78)</f>
        <v/>
      </c>
      <c r="BZ165" s="392">
        <f>IF(ISBLANK(Actuals!CA78),0,Actuals!CA78)</f>
        <v/>
      </c>
      <c r="CA165" s="392">
        <f>IF(ISBLANK(Actuals!CB78),IF(Projects!$G$13="Yes",74640,0),Actuals!CB78)</f>
        <v/>
      </c>
      <c r="CB165" s="392">
        <f>IF(ISBLANK(Actuals!CC78),0,Actuals!CC78)</f>
        <v/>
      </c>
      <c r="CC165" s="392">
        <f>IF(ISBLANK(Actuals!CD78),0,Actuals!CD78)</f>
        <v/>
      </c>
      <c r="CD165" s="392">
        <f>IF(ISBLANK(Actuals!CE78),IF(Projects!$G$13="Yes",81363,0),Actuals!CE78)</f>
        <v/>
      </c>
      <c r="CE165" s="392">
        <f>IF(ISBLANK(Actuals!CF78),0,Actuals!CF78)</f>
        <v/>
      </c>
      <c r="CF165" s="392">
        <f>IF(ISBLANK(Actuals!CG78),0,Actuals!CG78)</f>
        <v/>
      </c>
      <c r="CG165" s="392">
        <f>IF(ISBLANK(Actuals!CH78),IF(Projects!$G$13="Yes",81362,0),Actuals!CH78)</f>
        <v/>
      </c>
      <c r="CH165" s="392">
        <f>IF(ISBLANK(Actuals!CI78),0,Actuals!CI78)</f>
        <v/>
      </c>
      <c r="CI165" s="392">
        <f>IF(ISBLANK(Actuals!CJ78),0,Actuals!CJ78)</f>
        <v/>
      </c>
      <c r="CJ165" s="392">
        <f>IF(ISBLANK(Actuals!CK78),IF(Projects!$G$13="Yes",81362,0),Actuals!CK78)</f>
        <v/>
      </c>
      <c r="CK165" s="392">
        <f>IF(ISBLANK(Actuals!CL78),IF(Projects!$G$13="Yes",81362,0),Actuals!CL78)</f>
        <v/>
      </c>
      <c r="CL165" s="392">
        <f>IF(ISBLANK(Actuals!CM78),IF(Projects!$G$13="Yes",81362,0),Actuals!CM78)</f>
        <v/>
      </c>
      <c r="CM165" s="392">
        <f>IF(ISBLANK(Actuals!CN78),IF(Projects!$G$13="Yes",81362,0),Actuals!CN78)</f>
        <v/>
      </c>
      <c r="CN165" s="392">
        <f>IF(ISBLANK(Actuals!CO78),IF(Projects!$G$13="Yes",81362,0),Actuals!CO78)</f>
        <v/>
      </c>
      <c r="CO165" s="392">
        <f>IF(ISBLANK(Actuals!CP78),IF(Projects!$G$13="Yes",81362,0),Actuals!CP78)</f>
        <v/>
      </c>
      <c r="CP165" s="392">
        <f>IF(ISBLANK(Actuals!CQ78),IF(Projects!$G$13="Yes",81362,0),Actuals!CQ78)</f>
        <v/>
      </c>
      <c r="CQ165" s="392">
        <f>IF(ISBLANK(Actuals!CR78),IF(Projects!$G$13="Yes",81362,0),Actuals!CR78)</f>
        <v/>
      </c>
      <c r="CR165" s="392">
        <f>IF(ISBLANK(Actuals!CS78),IF(Projects!$G$13="Yes",81362,0),Actuals!CS78)</f>
        <v/>
      </c>
      <c r="CS165" s="392">
        <f>IF(ISBLANK(Actuals!CT78),IF(Projects!$G$13="Yes",81362,0),Actuals!CT78)</f>
        <v/>
      </c>
      <c r="CT165" s="392">
        <f>IF(ISBLANK(Actuals!CU78),IF(Projects!$G$13="Yes",81362,0),Actuals!CU78)</f>
        <v/>
      </c>
      <c r="CU165" s="392">
        <f>IF(ISBLANK(Actuals!CV78),IF(Projects!$G$13="Yes",81362,0),Actuals!CV78)</f>
        <v/>
      </c>
      <c r="CV165" s="392">
        <f>IF(ISBLANK(Actuals!CW78),IF(Projects!$G$13="Yes",81362,0),Actuals!CW78)</f>
        <v/>
      </c>
      <c r="CW165" s="392">
        <f>IF(ISBLANK(Actuals!CX78),IF(Projects!$G$13="Yes",81362,0),Actuals!CX78)</f>
        <v/>
      </c>
      <c r="CX165" s="392">
        <f>IF(ISBLANK(Actuals!CY78),IF(Projects!$G$13="Yes",81362,0),Actuals!CY78)</f>
        <v/>
      </c>
      <c r="CY165" s="392">
        <f>IF(ISBLANK(Actuals!CZ78),IF(Projects!$G$13="Yes",81362,0),Actuals!CZ78)</f>
        <v/>
      </c>
      <c r="CZ165" s="392">
        <f>IF(ISBLANK(Actuals!DA78),IF(Projects!$G$13="Yes",81362,0),Actuals!DA78)</f>
        <v/>
      </c>
      <c r="DA165" s="392">
        <f>IF(ISBLANK(Actuals!DB78),IF(Projects!$G$13="Yes",81362,0),Actuals!DB78)</f>
        <v/>
      </c>
      <c r="DB165" s="392">
        <f>IF(ISBLANK(Actuals!DC78),IF(Projects!$G$13="Yes",81362,0),Actuals!DC78)</f>
        <v/>
      </c>
      <c r="DC165" s="392">
        <f>IF(ISBLANK(Actuals!DD78),IF(Projects!$G$13="Yes",81362,0),Actuals!DD78)</f>
        <v/>
      </c>
      <c r="DD165" s="392">
        <f>IF(ISBLANK(Actuals!DE78),IF(Projects!$G$13="Yes",81362,0),Actuals!DE78)</f>
        <v/>
      </c>
      <c r="DE165" s="392">
        <f>IF(ISBLANK(Actuals!DF78),IF(Projects!$G$13="Yes",81362,0),Actuals!DF78)</f>
        <v/>
      </c>
    </row>
    <row r="166" ht="15" customFormat="1" customHeight="1" s="380">
      <c r="A166" s="397" t="inlineStr">
        <is>
          <t>3rd St LIHTC Revenue (SP Share)</t>
        </is>
      </c>
      <c r="B166" s="392">
        <f>IF(ISBLANK(Actuals!C79),0,Actuals!C79)</f>
        <v/>
      </c>
      <c r="C166" s="392">
        <f>IF(ISBLANK(Actuals!D79),0,Actuals!D79)</f>
        <v/>
      </c>
      <c r="D166" s="392">
        <f>IF(ISBLANK(Actuals!E79),0,Actuals!E79)</f>
        <v/>
      </c>
      <c r="E166" s="392">
        <f>IF(ISBLANK(Actuals!F79),0,Actuals!F79)</f>
        <v/>
      </c>
      <c r="F166" s="392">
        <f>IF(ISBLANK(Actuals!G79),0,Actuals!G79)</f>
        <v/>
      </c>
      <c r="G166" s="392">
        <f>IF(ISBLANK(Actuals!H79),0,Actuals!H79)</f>
        <v/>
      </c>
      <c r="H166" s="392">
        <f>IF(ISBLANK(Actuals!I79),0,Actuals!I79)</f>
        <v/>
      </c>
      <c r="I166" s="392">
        <f>IF(ISBLANK(Actuals!J79),0,Actuals!J79)</f>
        <v/>
      </c>
      <c r="J166" s="392">
        <f>IF(ISBLANK(Actuals!K79),0,Actuals!K79)</f>
        <v/>
      </c>
      <c r="K166" s="392">
        <f>IF(ISBLANK(Actuals!L79),0,Actuals!L79)</f>
        <v/>
      </c>
      <c r="L166" s="392">
        <f>IF(ISBLANK(Actuals!M79),0,Actuals!M79)</f>
        <v/>
      </c>
      <c r="M166" s="392">
        <f>IF(ISBLANK(Actuals!N79),0,Actuals!N79)</f>
        <v/>
      </c>
      <c r="N166" s="392">
        <f>IF(ISBLANK(Actuals!O79),0,Actuals!O79)</f>
        <v/>
      </c>
      <c r="O166" s="392">
        <f>IF(ISBLANK(Actuals!P79),0,Actuals!P79)</f>
        <v/>
      </c>
      <c r="P166" s="392">
        <f>IF(ISBLANK(Actuals!Q79),0,Actuals!Q79)</f>
        <v/>
      </c>
      <c r="Q166" s="392">
        <f>IF(ISBLANK(Actuals!R79),0,Actuals!R79)</f>
        <v/>
      </c>
      <c r="R166" s="392">
        <f>IF(ISBLANK(Actuals!S79),0,Actuals!S79)</f>
        <v/>
      </c>
      <c r="S166" s="392">
        <f>IF(ISBLANK(Actuals!T79),0,Actuals!T79)</f>
        <v/>
      </c>
      <c r="T166" s="392">
        <f>IF(ISBLANK(Actuals!U79),0,Actuals!U79)</f>
        <v/>
      </c>
      <c r="U166" s="392">
        <f>IF(ISBLANK(Actuals!V79),0,Actuals!V79)</f>
        <v/>
      </c>
      <c r="V166" s="392">
        <f>IF(ISBLANK(Actuals!W79),0,Actuals!W79)</f>
        <v/>
      </c>
      <c r="W166" s="392">
        <f>IF(ISBLANK(Actuals!X79),0,Actuals!X79)</f>
        <v/>
      </c>
      <c r="X166" s="392">
        <f>IF(ISBLANK(Actuals!Y79),0,Actuals!Y79)</f>
        <v/>
      </c>
      <c r="Y166" s="392">
        <f>IF(ISBLANK(Actuals!Z79),0,Actuals!Z79)</f>
        <v/>
      </c>
      <c r="Z166" s="392">
        <f>IF(ISBLANK(Actuals!AA79),0,Actuals!AA79)</f>
        <v/>
      </c>
      <c r="AA166" s="392">
        <f>IF(ISBLANK(Actuals!AB79),0,Actuals!AB79)</f>
        <v/>
      </c>
      <c r="AB166" s="392">
        <f>IF(ISBLANK(Actuals!AC79),0,Actuals!AC79)</f>
        <v/>
      </c>
      <c r="AC166" s="392">
        <f>IF(ISBLANK(Actuals!AD79),0,Actuals!AD79)</f>
        <v/>
      </c>
      <c r="AD166" s="392">
        <f>IF(ISBLANK(Actuals!AE79),0,Actuals!AE79)</f>
        <v/>
      </c>
      <c r="AE166" s="392">
        <f>IF(ISBLANK(Actuals!AF79),0,Actuals!AF79)</f>
        <v/>
      </c>
      <c r="AF166" s="392">
        <f>IF(ISBLANK(Actuals!AG79),0,Actuals!AG79)</f>
        <v/>
      </c>
      <c r="AG166" s="392">
        <f>IF(ISBLANK(Actuals!AH79),0,Actuals!AH79)</f>
        <v/>
      </c>
      <c r="AH166" s="392">
        <f>IF(ISBLANK(Actuals!AI79),0,Actuals!AI79)</f>
        <v/>
      </c>
      <c r="AI166" s="392">
        <f>IF(ISBLANK(Actuals!AJ79),0,Actuals!AJ79)</f>
        <v/>
      </c>
      <c r="AJ166" s="392">
        <f>IF(ISBLANK(Actuals!AK79),0,Actuals!AK79)</f>
        <v/>
      </c>
      <c r="AK166" s="392">
        <f>IF(ISBLANK(Actuals!AL79),0,Actuals!AL79)</f>
        <v/>
      </c>
      <c r="AL166" s="392">
        <f>IF(ISBLANK(Actuals!AM79),0,Actuals!AM79)</f>
        <v/>
      </c>
      <c r="AM166" s="392">
        <f>IF(ISBLANK(Actuals!AN79),0,Actuals!AN79)</f>
        <v/>
      </c>
      <c r="AN166" s="392">
        <f>IF(ISBLANK(Actuals!AO79),0,Actuals!AO79)</f>
        <v/>
      </c>
      <c r="AO166" s="392">
        <f>IF(ISBLANK(Actuals!AP79),0,Actuals!AP79)</f>
        <v/>
      </c>
      <c r="AP166" s="392">
        <f>IF(ISBLANK(Actuals!AQ79),0,Actuals!AQ79)</f>
        <v/>
      </c>
      <c r="AQ166" s="392">
        <f>IF(ISBLANK(Actuals!AR79),0,Actuals!AR79)</f>
        <v/>
      </c>
      <c r="AR166" s="392">
        <f>IF(ISBLANK(Actuals!AS79),0,Actuals!AS79)</f>
        <v/>
      </c>
      <c r="AS166" s="392">
        <f>IF(ISBLANK(Actuals!AT79),0,Actuals!AT79)</f>
        <v/>
      </c>
      <c r="AT166" s="392">
        <f>IF(ISBLANK(Actuals!AU79),0,Actuals!AU79)</f>
        <v/>
      </c>
      <c r="AU166" s="392">
        <f>IF(ISBLANK(Actuals!AV79),0,Actuals!AV79)</f>
        <v/>
      </c>
      <c r="AV166" s="392">
        <f>IF(ISBLANK(Actuals!AW79),0,Actuals!AW79)</f>
        <v/>
      </c>
      <c r="AW166" s="392">
        <f>IF(ISBLANK(Actuals!AX79),0,Actuals!AX79)</f>
        <v/>
      </c>
      <c r="AX166" s="392">
        <f>IF(ISBLANK(Actuals!AY79),0,Actuals!AY79)</f>
        <v/>
      </c>
      <c r="AY166" s="392">
        <f>IF(ISBLANK(Actuals!AZ79),0,Actuals!AZ79)</f>
        <v/>
      </c>
      <c r="AZ166" s="392">
        <f>IF(ISBLANK(Actuals!BA79),0,Actuals!BA79)</f>
        <v/>
      </c>
      <c r="BA166" s="392">
        <f>IF(ISBLANK(Actuals!BB79),0,Actuals!BB79)</f>
        <v/>
      </c>
      <c r="BB166" s="392">
        <f>IF(ISBLANK(Actuals!BC79),0,Actuals!BC79)</f>
        <v/>
      </c>
      <c r="BC166" s="392">
        <f>IF(ISBLANK(Actuals!BD79),0,Actuals!BD79)</f>
        <v/>
      </c>
      <c r="BD166" s="392">
        <f>IF(ISBLANK(Actuals!BE79),0,Actuals!BE79)</f>
        <v/>
      </c>
      <c r="BE166" s="392">
        <f>IF(ISBLANK(Actuals!BF79),0,Actuals!BF79)</f>
        <v/>
      </c>
      <c r="BF166" s="392">
        <f>IF(ISBLANK(Actuals!BG79),0,Actuals!BG79)</f>
        <v/>
      </c>
      <c r="BG166" s="392">
        <f>IF(ISBLANK(Actuals!BH79),0,Actuals!BH79)</f>
        <v/>
      </c>
      <c r="BH166" s="392">
        <f>IF(ISBLANK(Actuals!BI79),0,Actuals!BI79)</f>
        <v/>
      </c>
      <c r="BI166" s="392">
        <f>IF(ISBLANK(Actuals!BJ79),0,Actuals!BJ79)</f>
        <v/>
      </c>
      <c r="BJ166" s="392">
        <f>IF(ISBLANK(Actuals!BK79),0,Actuals!BK79)</f>
        <v/>
      </c>
      <c r="BK166" s="392">
        <f>IF(ISBLANK(Actuals!BL79),0,Actuals!BL79)</f>
        <v/>
      </c>
      <c r="BL166" s="392">
        <f>IF(ISBLANK(Actuals!BM79),0,Actuals!BM79)</f>
        <v/>
      </c>
      <c r="BM166" s="392">
        <f>IF(ISBLANK(Actuals!BN79),0,Actuals!BN79)</f>
        <v/>
      </c>
      <c r="BN166" s="392">
        <f>IF(ISBLANK(Actuals!BO79),0,Actuals!BO79)</f>
        <v/>
      </c>
      <c r="BO166" s="392">
        <f>IF(ISBLANK(Actuals!BP79),0,Actuals!BP79)</f>
        <v/>
      </c>
      <c r="BP166" s="392">
        <f>IF(ISBLANK(Actuals!BQ79),0,Actuals!BQ79)</f>
        <v/>
      </c>
      <c r="BQ166" s="392">
        <f>IF(ISBLANK(Actuals!BR79),0,Actuals!BR79)</f>
        <v/>
      </c>
      <c r="BR166" s="392">
        <f>IF(ISBLANK(Actuals!BS79),0,Actuals!BS79)</f>
        <v/>
      </c>
      <c r="BS166" s="392">
        <f>IF(ISBLANK(Actuals!BT79),0,Actuals!BT79)</f>
        <v/>
      </c>
      <c r="BT166" s="392">
        <f>IF(ISBLANK(Actuals!BU79),0,Actuals!BU79)</f>
        <v/>
      </c>
      <c r="BU166" s="392">
        <f>IF(ISBLANK(Actuals!BV79),0,Actuals!BV79)</f>
        <v/>
      </c>
      <c r="BV166" s="392">
        <f>IF(ISBLANK(Actuals!BW79),0,Actuals!BW79)</f>
        <v/>
      </c>
      <c r="BW166" s="392">
        <f>IF(ISBLANK(Actuals!BX79),0,Actuals!BX79)</f>
        <v/>
      </c>
      <c r="BX166" s="392">
        <f>IF(ISBLANK(Actuals!BY79),0,Actuals!BY79)</f>
        <v/>
      </c>
      <c r="BY166" s="392">
        <f>IF(ISBLANK(Actuals!BZ79),0,Actuals!BZ79)</f>
        <v/>
      </c>
      <c r="BZ166" s="392">
        <f>IF(ISBLANK(Actuals!CA79),0,Actuals!CA79)</f>
        <v/>
      </c>
      <c r="CA166" s="392">
        <f>IF(ISBLANK(Actuals!CB79),IF(Projects!$G$14="Yes",73156,0),Actuals!CB79)</f>
        <v/>
      </c>
      <c r="CB166" s="392">
        <f>IF(ISBLANK(Actuals!CC79),0,Actuals!CC79)</f>
        <v/>
      </c>
      <c r="CC166" s="392">
        <f>IF(ISBLANK(Actuals!CD79),0,Actuals!CD79)</f>
        <v/>
      </c>
      <c r="CD166" s="392">
        <f>IF(ISBLANK(Actuals!CE79),IF(Projects!$G$14="Yes",73155,0),Actuals!CE79)</f>
        <v/>
      </c>
      <c r="CE166" s="392">
        <f>IF(ISBLANK(Actuals!CF79),0,Actuals!CF79)</f>
        <v/>
      </c>
      <c r="CF166" s="392">
        <f>IF(ISBLANK(Actuals!CG79),0,Actuals!CG79)</f>
        <v/>
      </c>
      <c r="CG166" s="392">
        <f>IF(ISBLANK(Actuals!CH79),IF(Projects!$G$14="Yes",73155,0),Actuals!CH79)</f>
        <v/>
      </c>
      <c r="CH166" s="392">
        <f>IF(ISBLANK(Actuals!CI79),0,Actuals!CI79)</f>
        <v/>
      </c>
      <c r="CI166" s="392">
        <f>IF(ISBLANK(Actuals!CJ79),0,Actuals!CJ79)</f>
        <v/>
      </c>
      <c r="CJ166" s="392">
        <f>IF(ISBLANK(Actuals!CK79),IF(Projects!$G$14="Yes",73155,0),Actuals!CK79)</f>
        <v/>
      </c>
      <c r="CK166" s="392">
        <f>IF(ISBLANK(Actuals!CL79),IF(Projects!$G$14="Yes",73155,0),Actuals!CL79)</f>
        <v/>
      </c>
      <c r="CL166" s="392">
        <f>IF(ISBLANK(Actuals!CM79),IF(Projects!$G$14="Yes",73155,0),Actuals!CM79)</f>
        <v/>
      </c>
      <c r="CM166" s="392">
        <f>IF(ISBLANK(Actuals!CN79),IF(Projects!$G$14="Yes",73155,0),Actuals!CN79)</f>
        <v/>
      </c>
      <c r="CN166" s="392">
        <f>IF(ISBLANK(Actuals!CO79),IF(Projects!$G$14="Yes",73155,0),Actuals!CO79)</f>
        <v/>
      </c>
      <c r="CO166" s="392">
        <f>IF(ISBLANK(Actuals!CP79),IF(Projects!$G$14="Yes",73155,0),Actuals!CP79)</f>
        <v/>
      </c>
      <c r="CP166" s="392">
        <f>IF(ISBLANK(Actuals!CQ79),IF(Projects!$G$14="Yes",73155,0),Actuals!CQ79)</f>
        <v/>
      </c>
      <c r="CQ166" s="392">
        <f>IF(ISBLANK(Actuals!CR79),IF(Projects!$G$14="Yes",73155,0),Actuals!CR79)</f>
        <v/>
      </c>
      <c r="CR166" s="392">
        <f>IF(ISBLANK(Actuals!CS79),IF(Projects!$G$14="Yes",73155,0),Actuals!CS79)</f>
        <v/>
      </c>
      <c r="CS166" s="392">
        <f>IF(ISBLANK(Actuals!CT79),IF(Projects!$G$14="Yes",73155,0),Actuals!CT79)</f>
        <v/>
      </c>
      <c r="CT166" s="392">
        <f>IF(ISBLANK(Actuals!CU79),IF(Projects!$G$14="Yes",73155,0),Actuals!CU79)</f>
        <v/>
      </c>
      <c r="CU166" s="392">
        <f>IF(ISBLANK(Actuals!CV79),IF(Projects!$G$14="Yes",73155,0),Actuals!CV79)</f>
        <v/>
      </c>
      <c r="CV166" s="392">
        <f>IF(ISBLANK(Actuals!CW79),IF(Projects!$G$14="Yes",73155,0),Actuals!CW79)</f>
        <v/>
      </c>
      <c r="CW166" s="392">
        <f>IF(ISBLANK(Actuals!CX79),IF(Projects!$G$14="Yes",73155,0),Actuals!CX79)</f>
        <v/>
      </c>
      <c r="CX166" s="392">
        <f>IF(ISBLANK(Actuals!CY79),IF(Projects!$G$14="Yes",73155,0),Actuals!CY79)</f>
        <v/>
      </c>
      <c r="CY166" s="392">
        <f>IF(ISBLANK(Actuals!CZ79),IF(Projects!$G$14="Yes",73155,0),Actuals!CZ79)</f>
        <v/>
      </c>
      <c r="CZ166" s="392">
        <f>IF(ISBLANK(Actuals!DA79),IF(Projects!$G$14="Yes",73155,0),Actuals!DA79)</f>
        <v/>
      </c>
      <c r="DA166" s="392">
        <f>IF(ISBLANK(Actuals!DB79),IF(Projects!$G$14="Yes",73155,0),Actuals!DB79)</f>
        <v/>
      </c>
      <c r="DB166" s="392">
        <f>IF(ISBLANK(Actuals!DC79),IF(Projects!$G$14="Yes",73155,0),Actuals!DC79)</f>
        <v/>
      </c>
      <c r="DC166" s="392">
        <f>IF(ISBLANK(Actuals!DD79),IF(Projects!$G$14="Yes",73155,0),Actuals!DD79)</f>
        <v/>
      </c>
      <c r="DD166" s="392">
        <f>IF(ISBLANK(Actuals!DE79),IF(Projects!$G$14="Yes",73155,0),Actuals!DE79)</f>
        <v/>
      </c>
      <c r="DE166" s="392">
        <f>IF(ISBLANK(Actuals!DF79),IF(Projects!$G$14="Yes",73155,0),Actuals!DF79)</f>
        <v/>
      </c>
    </row>
    <row r="167" ht="15" customFormat="1" customHeight="1" s="380">
      <c r="A167" s="397" t="inlineStr">
        <is>
          <t>Uplifters Total to SP</t>
        </is>
      </c>
      <c r="B167" s="392">
        <f>IF(ISBLANK(Actuals!C80),0,Actuals!C80)</f>
        <v/>
      </c>
      <c r="C167" s="392">
        <f>IF(ISBLANK(Actuals!D80),0,Actuals!D80)</f>
        <v/>
      </c>
      <c r="D167" s="392">
        <f>IF(ISBLANK(Actuals!E80),0,Actuals!E80)</f>
        <v/>
      </c>
      <c r="E167" s="392">
        <f>IF(ISBLANK(Actuals!F80),IF(Uplifters!$B$2="Yes",Uplifters!C107,0),Actuals!F80)</f>
        <v/>
      </c>
      <c r="F167" s="392">
        <f>IF(ISBLANK(Actuals!G80),IF(Uplifters!$B$2="Yes",Uplifters!D107,0),Actuals!G80)</f>
        <v/>
      </c>
      <c r="G167" s="392">
        <f>IF(ISBLANK(Actuals!H80),IF(Uplifters!$B$2="Yes",Uplifters!E107,0),Actuals!H80)</f>
        <v/>
      </c>
      <c r="H167" s="392">
        <f>IF(ISBLANK(Actuals!I80),IF(Uplifters!$B$2="Yes",Uplifters!F107,0),Actuals!I80)</f>
        <v/>
      </c>
      <c r="I167" s="392">
        <f>IF(ISBLANK(Actuals!J80),IF(Uplifters!$B$2="Yes",Uplifters!G107,0),Actuals!J80)</f>
        <v/>
      </c>
      <c r="J167" s="392">
        <f>IF(ISBLANK(Actuals!K80),IF(Uplifters!$B$2="Yes",Uplifters!H107,0),Actuals!K80)</f>
        <v/>
      </c>
      <c r="K167" s="392">
        <f>IF(ISBLANK(Actuals!L80),IF(Uplifters!$B$2="Yes",Uplifters!I107,0),Actuals!L80)</f>
        <v/>
      </c>
      <c r="L167" s="392">
        <f>IF(ISBLANK(Actuals!M80),IF(Uplifters!$B$2="Yes",Uplifters!J107,0),Actuals!M80)</f>
        <v/>
      </c>
      <c r="M167" s="392">
        <f>IF(ISBLANK(Actuals!N80),IF(Uplifters!$B$2="Yes",Uplifters!K107,0),Actuals!N80)</f>
        <v/>
      </c>
      <c r="N167" s="392">
        <f>IF(ISBLANK(Actuals!O80),IF(Uplifters!$B$2="Yes",Uplifters!L107,0),Actuals!O80)</f>
        <v/>
      </c>
      <c r="O167" s="392">
        <f>IF(ISBLANK(Actuals!P80),IF(Uplifters!$B$2="Yes",Uplifters!M107,0),Actuals!P80)</f>
        <v/>
      </c>
      <c r="P167" s="392">
        <f>IF(ISBLANK(Actuals!Q80),IF(Uplifters!$B$2="Yes",Uplifters!N107,0),Actuals!Q80)</f>
        <v/>
      </c>
      <c r="Q167" s="392">
        <f>IF(ISBLANK(Actuals!R80),IF(Uplifters!$B$2="Yes",Uplifters!O107,0),Actuals!R80)</f>
        <v/>
      </c>
      <c r="R167" s="392">
        <f>IF(ISBLANK(Actuals!S80),IF(Uplifters!$B$2="Yes",Uplifters!P107,0),Actuals!S80)</f>
        <v/>
      </c>
      <c r="S167" s="392">
        <f>IF(ISBLANK(Actuals!T80),IF(Uplifters!$B$2="Yes",Uplifters!Q107,0),Actuals!T80)</f>
        <v/>
      </c>
      <c r="T167" s="392">
        <f>IF(ISBLANK(Actuals!U80),IF(Uplifters!$B$2="Yes",Uplifters!R107,0),Actuals!U80)</f>
        <v/>
      </c>
      <c r="U167" s="392">
        <f>IF(ISBLANK(Actuals!V80),IF(Uplifters!$B$2="Yes",Uplifters!S107,0),Actuals!V80)</f>
        <v/>
      </c>
      <c r="V167" s="392">
        <f>IF(ISBLANK(Actuals!W80),IF(Uplifters!$B$2="Yes",Uplifters!T107,0),Actuals!W80)</f>
        <v/>
      </c>
      <c r="W167" s="392">
        <f>IF(ISBLANK(Actuals!X80),IF(Uplifters!$B$2="Yes",Uplifters!U107,0),Actuals!X80)</f>
        <v/>
      </c>
      <c r="X167" s="392">
        <f>IF(ISBLANK(Actuals!Y80),IF(Uplifters!$B$2="Yes",Uplifters!V107,0),Actuals!Y80)</f>
        <v/>
      </c>
      <c r="Y167" s="392">
        <f>IF(ISBLANK(Actuals!Z80),IF(Uplifters!$B$2="Yes",Uplifters!W107,0),Actuals!Z80)</f>
        <v/>
      </c>
      <c r="Z167" s="392">
        <f>IF(ISBLANK(Actuals!AA80),IF(Uplifters!$B$2="Yes",Uplifters!X107,0),Actuals!AA80)</f>
        <v/>
      </c>
      <c r="AA167" s="392">
        <f>IF(ISBLANK(Actuals!AB80),IF(Uplifters!$B$2="Yes",Uplifters!Y107,0),Actuals!AB80)</f>
        <v/>
      </c>
      <c r="AB167" s="392">
        <f>IF(ISBLANK(Actuals!AC80),IF(Uplifters!$B$2="Yes",Uplifters!Z107,0),Actuals!AC80)</f>
        <v/>
      </c>
      <c r="AC167" s="392">
        <f>IF(ISBLANK(Actuals!AD80),IF(Uplifters!$B$2="Yes",Uplifters!AA107,0),Actuals!AD80)</f>
        <v/>
      </c>
      <c r="AD167" s="392">
        <f>IF(ISBLANK(Actuals!AE80),IF(Uplifters!$B$2="Yes",Uplifters!AB107,0),Actuals!AE80)</f>
        <v/>
      </c>
      <c r="AE167" s="392">
        <f>IF(ISBLANK(Actuals!AF80),IF(Uplifters!$B$2="Yes",Uplifters!AC107,0),Actuals!AF80)</f>
        <v/>
      </c>
      <c r="AF167" s="392">
        <f>IF(ISBLANK(Actuals!AG80),IF(Uplifters!$B$2="Yes",Uplifters!AD107,0),Actuals!AG80)</f>
        <v/>
      </c>
      <c r="AG167" s="392">
        <f>IF(ISBLANK(Actuals!AH80),IF(Uplifters!$B$2="Yes",Uplifters!AE107,0),Actuals!AH80)</f>
        <v/>
      </c>
      <c r="AH167" s="392">
        <f>IF(ISBLANK(Actuals!AI80),IF(Uplifters!$B$2="Yes",Uplifters!AF107,0),Actuals!AI80)</f>
        <v/>
      </c>
      <c r="AI167" s="392">
        <f>IF(ISBLANK(Actuals!AJ80),IF(Uplifters!$B$2="Yes",Uplifters!AG107,0),Actuals!AJ80)</f>
        <v/>
      </c>
      <c r="AJ167" s="392">
        <f>IF(ISBLANK(Actuals!AK80),IF(Uplifters!$B$2="Yes",Uplifters!AH107,0),Actuals!AK80)</f>
        <v/>
      </c>
      <c r="AK167" s="392">
        <f>IF(ISBLANK(Actuals!AL80),IF(Uplifters!$B$2="Yes",Uplifters!AI107,0),Actuals!AL80)</f>
        <v/>
      </c>
      <c r="AL167" s="392">
        <f>IF(ISBLANK(Actuals!AM80),IF(Uplifters!$B$2="Yes",Uplifters!AJ107,0),Actuals!AM80)</f>
        <v/>
      </c>
      <c r="AM167" s="392">
        <f>IF(ISBLANK(Actuals!AN80),IF(Uplifters!$B$2="Yes",Uplifters!AK107,0),Actuals!AN80)</f>
        <v/>
      </c>
      <c r="AN167" s="392">
        <f>IF(ISBLANK(Actuals!AO80),IF(Uplifters!$B$2="Yes",Uplifters!AL107,0),Actuals!AO80)</f>
        <v/>
      </c>
      <c r="AO167" s="392">
        <f>IF(ISBLANK(Actuals!AP80),IF(Uplifters!$B$2="Yes",Uplifters!AM107,0),Actuals!AP80)</f>
        <v/>
      </c>
      <c r="AP167" s="392">
        <f>IF(ISBLANK(Actuals!AQ80),IF(Uplifters!$B$2="Yes",Uplifters!AN107,0),Actuals!AQ80)</f>
        <v/>
      </c>
      <c r="AQ167" s="392">
        <f>IF(ISBLANK(Actuals!AR80),IF(Uplifters!$B$2="Yes",Uplifters!AO107,0),Actuals!AR80)</f>
        <v/>
      </c>
      <c r="AR167" s="392">
        <f>IF(ISBLANK(Actuals!AS80),IF(Uplifters!$B$2="Yes",Uplifters!AP107,0),Actuals!AS80)</f>
        <v/>
      </c>
      <c r="AS167" s="392">
        <f>IF(ISBLANK(Actuals!AT80),IF(Uplifters!$B$2="Yes",Uplifters!AQ107,0),Actuals!AT80)</f>
        <v/>
      </c>
      <c r="AT167" s="392">
        <f>IF(ISBLANK(Actuals!AU80),IF(Uplifters!$B$2="Yes",Uplifters!AR107,0),Actuals!AU80)</f>
        <v/>
      </c>
      <c r="AU167" s="392">
        <f>IF(ISBLANK(Actuals!AV80),IF(Uplifters!$B$2="Yes",Uplifters!AS107,0),Actuals!AV80)</f>
        <v/>
      </c>
      <c r="AV167" s="392">
        <f>IF(ISBLANK(Actuals!AW80),IF(Uplifters!$B$2="Yes",Uplifters!AT107,0),Actuals!AW80)</f>
        <v/>
      </c>
      <c r="AW167" s="392">
        <f>IF(ISBLANK(Actuals!AX80),IF(Uplifters!$B$2="Yes",Uplifters!AU107,0),Actuals!AX80)</f>
        <v/>
      </c>
      <c r="AX167" s="392">
        <f>IF(ISBLANK(Actuals!AY80),IF(Uplifters!$B$2="Yes",Uplifters!AV107,0),Actuals!AY80)</f>
        <v/>
      </c>
      <c r="AY167" s="392">
        <f>IF(ISBLANK(Actuals!AZ80),IF(Uplifters!$B$2="Yes",Uplifters!AW107,0),Actuals!AZ80)</f>
        <v/>
      </c>
      <c r="AZ167" s="392">
        <f>IF(ISBLANK(Actuals!BA80),IF(Uplifters!$B$2="Yes",Uplifters!AX107,0),Actuals!BA80)</f>
        <v/>
      </c>
      <c r="BA167" s="392">
        <f>IF(ISBLANK(Actuals!BB80),IF(Uplifters!$B$2="Yes",Uplifters!AY107,0),Actuals!BB80)</f>
        <v/>
      </c>
      <c r="BB167" s="392">
        <f>IF(ISBLANK(Actuals!BC80),IF(Uplifters!$B$2="Yes",Uplifters!AZ107,0),Actuals!BC80)</f>
        <v/>
      </c>
      <c r="BC167" s="392">
        <f>IF(ISBLANK(Actuals!BD80),IF(Uplifters!$B$2="Yes",Uplifters!BA107,0),Actuals!BD80)</f>
        <v/>
      </c>
      <c r="BD167" s="392">
        <f>IF(ISBLANK(Actuals!BE80),IF(Uplifters!$B$2="Yes",Uplifters!BB107,0),Actuals!BE80)</f>
        <v/>
      </c>
      <c r="BE167" s="392">
        <f>IF(ISBLANK(Actuals!BF80),IF(Uplifters!$B$2="Yes",Uplifters!BC107,0),Actuals!BF80)</f>
        <v/>
      </c>
      <c r="BF167" s="392">
        <f>IF(ISBLANK(Actuals!BG80),IF(Uplifters!$B$2="Yes",Uplifters!BD107,0),Actuals!BG80)</f>
        <v/>
      </c>
      <c r="BG167" s="392">
        <f>IF(ISBLANK(Actuals!BH80),IF(Uplifters!$B$2="Yes",Uplifters!BE107,0),Actuals!BH80)</f>
        <v/>
      </c>
      <c r="BH167" s="392">
        <f>IF(ISBLANK(Actuals!BI80),IF(Uplifters!$B$2="Yes",Uplifters!BF107,0),Actuals!BI80)</f>
        <v/>
      </c>
      <c r="BI167" s="392">
        <f>IF(ISBLANK(Actuals!BJ80),IF(Uplifters!$B$2="Yes",Uplifters!BG107,0),Actuals!BJ80)</f>
        <v/>
      </c>
      <c r="BJ167" s="392">
        <f>IF(ISBLANK(Actuals!BK80),IF(Uplifters!$B$2="Yes",Uplifters!BH107,0),Actuals!BK80)</f>
        <v/>
      </c>
      <c r="BK167" s="392">
        <f>IF(ISBLANK(Actuals!BL80),IF(Uplifters!$B$2="Yes",Uplifters!BI107,0),Actuals!BL80)</f>
        <v/>
      </c>
      <c r="BL167" s="392">
        <f>IF(ISBLANK(Actuals!BM80),IF(Uplifters!$B$2="Yes",Uplifters!BJ107,0),Actuals!BM80)</f>
        <v/>
      </c>
      <c r="BM167" s="392">
        <f>IF(ISBLANK(Actuals!BN80),IF(Uplifters!$B$2="Yes",Uplifters!BK107,0),Actuals!BN80)</f>
        <v/>
      </c>
      <c r="BN167" s="392">
        <f>IF(ISBLANK(Actuals!BO80),IF(Uplifters!$B$2="Yes",Uplifters!BL107,0),Actuals!BO80)</f>
        <v/>
      </c>
      <c r="BO167" s="392">
        <f>IF(ISBLANK(Actuals!BP80),IF(Uplifters!$B$2="Yes",Uplifters!BM107,0),Actuals!BP80)</f>
        <v/>
      </c>
      <c r="BP167" s="392">
        <f>IF(ISBLANK(Actuals!BQ80),IF(Uplifters!$B$2="Yes",Uplifters!BN107,0),Actuals!BQ80)</f>
        <v/>
      </c>
      <c r="BQ167" s="392">
        <f>IF(ISBLANK(Actuals!BR80),IF(Uplifters!$B$2="Yes",Uplifters!BO107,0),Actuals!BR80)</f>
        <v/>
      </c>
      <c r="BR167" s="392">
        <f>IF(ISBLANK(Actuals!BS80),IF(Uplifters!$B$2="Yes",Uplifters!BP107,0),Actuals!BS80)</f>
        <v/>
      </c>
      <c r="BS167" s="392">
        <f>IF(ISBLANK(Actuals!BT80),IF(Uplifters!$B$2="Yes",Uplifters!BQ107,0),Actuals!BT80)</f>
        <v/>
      </c>
      <c r="BT167" s="392">
        <f>IF(ISBLANK(Actuals!BU80),IF(Uplifters!$B$2="Yes",Uplifters!BR107,0),Actuals!BU80)</f>
        <v/>
      </c>
      <c r="BU167" s="392">
        <f>IF(ISBLANK(Actuals!BV80),IF(Uplifters!$B$2="Yes",Uplifters!BS107,0),Actuals!BV80)</f>
        <v/>
      </c>
      <c r="BV167" s="392">
        <f>IF(ISBLANK(Actuals!BW80),IF(Uplifters!$B$2="Yes",Uplifters!BT107,0),Actuals!BW80)</f>
        <v/>
      </c>
      <c r="BW167" s="392">
        <f>IF(ISBLANK(Actuals!BX80),IF(Uplifters!$B$2="Yes",Uplifters!BU107,0),Actuals!BX80)</f>
        <v/>
      </c>
      <c r="BX167" s="392">
        <f>IF(ISBLANK(Actuals!BY80),IF(Uplifters!$B$2="Yes",Uplifters!BV107,0),Actuals!BY80)</f>
        <v/>
      </c>
      <c r="BY167" s="392">
        <f>IF(ISBLANK(Actuals!BZ80),IF(Uplifters!$B$2="Yes",Uplifters!BW107,0),Actuals!BZ80)</f>
        <v/>
      </c>
      <c r="BZ167" s="392">
        <f>IF(ISBLANK(Actuals!CA80),IF(Uplifters!$B$2="Yes",Uplifters!BX107,0),Actuals!CA80)</f>
        <v/>
      </c>
      <c r="CA167" s="392">
        <f>IF(ISBLANK(Actuals!CB80),IF(Uplifters!$B$2="Yes",Uplifters!BY107,0),Actuals!CB80)</f>
        <v/>
      </c>
      <c r="CB167" s="392">
        <f>IF(ISBLANK(Actuals!CC80),IF(Uplifters!$B$2="Yes",Uplifters!BZ107,0),Actuals!CC80)</f>
        <v/>
      </c>
      <c r="CC167" s="392">
        <f>IF(ISBLANK(Actuals!CD80),IF(Uplifters!$B$2="Yes",Uplifters!CA107,0),Actuals!CD80)</f>
        <v/>
      </c>
      <c r="CD167" s="392">
        <f>IF(ISBLANK(Actuals!CE80),IF(Uplifters!$B$2="Yes",Uplifters!CB107,0),Actuals!CE80)</f>
        <v/>
      </c>
      <c r="CE167" s="392">
        <f>IF(ISBLANK(Actuals!CF80),IF(Uplifters!$B$2="Yes",Uplifters!CC107,0),Actuals!CF80)</f>
        <v/>
      </c>
      <c r="CF167" s="392">
        <f>IF(ISBLANK(Actuals!CG80),IF(Uplifters!$B$2="Yes",Uplifters!CD107,0),Actuals!CG80)</f>
        <v/>
      </c>
      <c r="CG167" s="392">
        <f>IF(ISBLANK(Actuals!CH80),IF(Uplifters!$B$2="Yes",Uplifters!CE107,0),Actuals!CH80)</f>
        <v/>
      </c>
      <c r="CH167" s="392">
        <f>IF(ISBLANK(Actuals!CI80),IF(Uplifters!$B$2="Yes",Uplifters!CF107,0),Actuals!CI80)</f>
        <v/>
      </c>
      <c r="CI167" s="392">
        <f>IF(ISBLANK(Actuals!CJ80),IF(Uplifters!$B$2="Yes",Uplifters!CG107,0),Actuals!CJ80)</f>
        <v/>
      </c>
      <c r="CJ167" s="392">
        <f>IF(ISBLANK(Actuals!CK80),IF(Uplifters!$B$2="Yes",Uplifters!CH107,0),Actuals!CK80)</f>
        <v/>
      </c>
      <c r="CK167" s="392">
        <f>IF(ISBLANK(Actuals!CL80),IF(Uplifters!$B$2="Yes",Uplifters!CI107,0),Actuals!CL80)</f>
        <v/>
      </c>
      <c r="CL167" s="392">
        <f>IF(ISBLANK(Actuals!CM80),IF(Uplifters!$B$2="Yes",Uplifters!CJ107,0),Actuals!CM80)</f>
        <v/>
      </c>
      <c r="CM167" s="392">
        <f>IF(ISBLANK(Actuals!CN80),IF(Uplifters!$B$2="Yes",Uplifters!CK107,0),Actuals!CN80)</f>
        <v/>
      </c>
      <c r="CN167" s="392">
        <f>IF(ISBLANK(Actuals!CO80),IF(Uplifters!$B$2="Yes",Uplifters!CL107,0),Actuals!CO80)</f>
        <v/>
      </c>
      <c r="CO167" s="392">
        <f>IF(ISBLANK(Actuals!CP80),IF(Uplifters!$B$2="Yes",Uplifters!CM107,0),Actuals!CP80)</f>
        <v/>
      </c>
      <c r="CP167" s="392">
        <f>IF(ISBLANK(Actuals!CQ80),IF(Uplifters!$B$2="Yes",Uplifters!CN107,0),Actuals!CQ80)</f>
        <v/>
      </c>
      <c r="CQ167" s="392">
        <f>IF(ISBLANK(Actuals!CR80),IF(Uplifters!$B$2="Yes",Uplifters!CO107,0),Actuals!CR80)</f>
        <v/>
      </c>
      <c r="CR167" s="392">
        <f>IF(ISBLANK(Actuals!CS80),IF(Uplifters!$B$2="Yes",Uplifters!CP107,0),Actuals!CS80)</f>
        <v/>
      </c>
      <c r="CS167" s="392">
        <f>IF(ISBLANK(Actuals!CT80),IF(Uplifters!$B$2="Yes",Uplifters!CQ107,0),Actuals!CT80)</f>
        <v/>
      </c>
      <c r="CT167" s="392">
        <f>IF(ISBLANK(Actuals!CU80),IF(Uplifters!$B$2="Yes",Uplifters!CR107,0),Actuals!CU80)</f>
        <v/>
      </c>
      <c r="CU167" s="392">
        <f>IF(ISBLANK(Actuals!CV80),IF(Uplifters!$B$2="Yes",Uplifters!CS107,0),Actuals!CV80)</f>
        <v/>
      </c>
      <c r="CV167" s="392">
        <f>IF(ISBLANK(Actuals!CW80),IF(Uplifters!$B$2="Yes",Uplifters!CT107,0),Actuals!CW80)</f>
        <v/>
      </c>
      <c r="CW167" s="392">
        <f>IF(ISBLANK(Actuals!CX80),IF(Uplifters!$B$2="Yes",Uplifters!CU107,0),Actuals!CX80)</f>
        <v/>
      </c>
      <c r="CX167" s="392">
        <f>IF(ISBLANK(Actuals!CY80),IF(Uplifters!$B$2="Yes",Uplifters!CV107,0),Actuals!CY80)</f>
        <v/>
      </c>
      <c r="CY167" s="392">
        <f>IF(ISBLANK(Actuals!CZ80),IF(Uplifters!$B$2="Yes",Uplifters!CW107,0),Actuals!CZ80)</f>
        <v/>
      </c>
      <c r="CZ167" s="392">
        <f>IF(ISBLANK(Actuals!DA80),IF(Uplifters!$B$2="Yes",Uplifters!CX107,0),Actuals!DA80)</f>
        <v/>
      </c>
      <c r="DA167" s="392">
        <f>IF(ISBLANK(Actuals!DB80),IF(Uplifters!$B$2="Yes",Uplifters!CY107,0),Actuals!DB80)</f>
        <v/>
      </c>
      <c r="DB167" s="392">
        <f>IF(ISBLANK(Actuals!DC80),IF(Uplifters!$B$2="Yes",Uplifters!CZ107,0),Actuals!DC80)</f>
        <v/>
      </c>
      <c r="DC167" s="392">
        <f>IF(ISBLANK(Actuals!DD80),IF(Uplifters!$B$2="Yes",Uplifters!DA107,0),Actuals!DD80)</f>
        <v/>
      </c>
      <c r="DD167" s="392">
        <f>IF(ISBLANK(Actuals!DE80),IF(Uplifters!$B$2="Yes",Uplifters!DB107,0),Actuals!DE80)</f>
        <v/>
      </c>
      <c r="DE167" s="392">
        <f>IF(ISBLANK(Actuals!DF80),IF(Uplifters!$B$2="Yes",Uplifters!DC107,0),Actuals!DF80)</f>
        <v/>
      </c>
    </row>
    <row r="168" ht="15" customFormat="1" customHeight="1" s="380">
      <c r="A168" s="397" t="inlineStr">
        <is>
          <t>Non-Cash Revenue Items</t>
        </is>
      </c>
      <c r="B168" s="392">
        <f>IF(ISBLANK(Actuals!C63),0,Actuals!C63)</f>
        <v/>
      </c>
      <c r="C168" s="392">
        <f>IF(ISBLANK(Actuals!D63),0,Actuals!D63)</f>
        <v/>
      </c>
      <c r="D168" s="392">
        <f>IF(ISBLANK(Actuals!E63),0,Actuals!E63)</f>
        <v/>
      </c>
      <c r="E168" s="392">
        <f>IF(ISBLANK(Actuals!F63),0,Actuals!F63)</f>
        <v/>
      </c>
      <c r="F168" s="392">
        <f>IF(ISBLANK(Actuals!G63),0,Actuals!G63)</f>
        <v/>
      </c>
      <c r="G168" s="392">
        <f>IF(ISBLANK(Actuals!H63),0,Actuals!H63)</f>
        <v/>
      </c>
      <c r="H168" s="392">
        <f>IF(ISBLANK(Actuals!I63),0,Actuals!I63)</f>
        <v/>
      </c>
      <c r="I168" s="392">
        <f>IF(ISBLANK(Actuals!J63),0,Actuals!J63)</f>
        <v/>
      </c>
      <c r="J168" s="392">
        <f>IF(ISBLANK(Actuals!K63),0,Actuals!K63)</f>
        <v/>
      </c>
      <c r="K168" s="392">
        <f>IF(ISBLANK(Actuals!L63),0,Actuals!L63)</f>
        <v/>
      </c>
      <c r="L168" s="392">
        <f>IF(ISBLANK(Actuals!M63),0,Actuals!M63)</f>
        <v/>
      </c>
      <c r="M168" s="392">
        <f>IF(ISBLANK(Actuals!N63),0,Actuals!N63)</f>
        <v/>
      </c>
      <c r="N168" s="392">
        <f>IF(ISBLANK(Actuals!O63),0,Actuals!O63)</f>
        <v/>
      </c>
      <c r="O168" s="392">
        <f>IF(ISBLANK(Actuals!P63),0,Actuals!P63)</f>
        <v/>
      </c>
      <c r="P168" s="392">
        <f>IF(ISBLANK(Actuals!Q63),0,Actuals!Q63)</f>
        <v/>
      </c>
      <c r="Q168" s="392">
        <f>IF(ISBLANK(Actuals!R63),0,Actuals!R63)</f>
        <v/>
      </c>
      <c r="R168" s="392">
        <f>IF(ISBLANK(Actuals!S63),0,Actuals!S63)</f>
        <v/>
      </c>
      <c r="S168" s="392">
        <f>IF(ISBLANK(Actuals!T63),0,Actuals!T63)</f>
        <v/>
      </c>
      <c r="T168" s="392">
        <f>IF(ISBLANK(Actuals!U63),0,Actuals!U63)</f>
        <v/>
      </c>
      <c r="U168" s="392">
        <f>IF(ISBLANK(Actuals!V63),0,Actuals!V63)</f>
        <v/>
      </c>
      <c r="V168" s="392">
        <f>IF(ISBLANK(Actuals!W63),0,Actuals!W63)</f>
        <v/>
      </c>
      <c r="W168" s="392">
        <f>IF(ISBLANK(Actuals!X63),0,Actuals!X63)</f>
        <v/>
      </c>
      <c r="X168" s="392">
        <f>IF(ISBLANK(Actuals!Y63),0,Actuals!Y63)</f>
        <v/>
      </c>
      <c r="Y168" s="392">
        <f>IF(ISBLANK(Actuals!Z63),0,Actuals!Z63)</f>
        <v/>
      </c>
      <c r="Z168" s="392">
        <f>IF(ISBLANK(Actuals!AA63),0,Actuals!AA63)</f>
        <v/>
      </c>
      <c r="AA168" s="392">
        <f>IF(ISBLANK(Actuals!AB63),0,Actuals!AB63)</f>
        <v/>
      </c>
      <c r="AB168" s="392">
        <f>IF(ISBLANK(Actuals!AC63),0,Actuals!AC63)</f>
        <v/>
      </c>
      <c r="AC168" s="392">
        <f>IF(ISBLANK(Actuals!AD63),0,Actuals!AD63)</f>
        <v/>
      </c>
      <c r="AD168" s="392">
        <f>IF(ISBLANK(Actuals!AE63),0,Actuals!AE63)</f>
        <v/>
      </c>
      <c r="AE168" s="392">
        <f>IF(ISBLANK(Actuals!AF63),0,Actuals!AF63)</f>
        <v/>
      </c>
      <c r="AF168" s="392">
        <f>IF(ISBLANK(Actuals!AG63),0,Actuals!AG63)</f>
        <v/>
      </c>
      <c r="AG168" s="392">
        <f>IF(ISBLANK(Actuals!AH63),0,Actuals!AH63)</f>
        <v/>
      </c>
      <c r="AH168" s="392">
        <f>IF(ISBLANK(Actuals!AI63),0,Actuals!AI63)</f>
        <v/>
      </c>
      <c r="AI168" s="392">
        <f>IF(ISBLANK(Actuals!AJ63),0,Actuals!AJ63)</f>
        <v/>
      </c>
      <c r="AJ168" s="392">
        <f>IF(ISBLANK(Actuals!AK63),0,Actuals!AK63)</f>
        <v/>
      </c>
      <c r="AK168" s="392">
        <f>IF(ISBLANK(Actuals!AL63),0,Actuals!AL63)</f>
        <v/>
      </c>
      <c r="AL168" s="392">
        <f>IF(ISBLANK(Actuals!AM63),0,Actuals!AM63)</f>
        <v/>
      </c>
      <c r="AM168" s="392">
        <f>IF(ISBLANK(Actuals!AN63),0,Actuals!AN63)</f>
        <v/>
      </c>
      <c r="AN168" s="392">
        <f>IF(ISBLANK(Actuals!AO63),0,Actuals!AO63)</f>
        <v/>
      </c>
      <c r="AO168" s="392">
        <f>IF(ISBLANK(Actuals!AP63),0,Actuals!AP63)</f>
        <v/>
      </c>
      <c r="AP168" s="392">
        <f>IF(ISBLANK(Actuals!AQ63),0,Actuals!AQ63)</f>
        <v/>
      </c>
      <c r="AQ168" s="392">
        <f>IF(ISBLANK(Actuals!AR63),0,Actuals!AR63)</f>
        <v/>
      </c>
      <c r="AR168" s="392">
        <f>IF(ISBLANK(Actuals!AS63),0,Actuals!AS63)</f>
        <v/>
      </c>
      <c r="AS168" s="392">
        <f>IF(ISBLANK(Actuals!AT63),0,Actuals!AT63)</f>
        <v/>
      </c>
      <c r="AT168" s="392">
        <f>IF(ISBLANK(Actuals!AU63),0,Actuals!AU63)</f>
        <v/>
      </c>
      <c r="AU168" s="392">
        <f>IF(ISBLANK(Actuals!AV63),0,Actuals!AV63)</f>
        <v/>
      </c>
      <c r="AV168" s="392">
        <f>IF(ISBLANK(Actuals!AW63),0,Actuals!AW63)</f>
        <v/>
      </c>
      <c r="AW168" s="392">
        <f>IF(ISBLANK(Actuals!AX63),0,Actuals!AX63)</f>
        <v/>
      </c>
      <c r="AX168" s="392">
        <f>IF(ISBLANK(Actuals!AY63),0,Actuals!AY63)</f>
        <v/>
      </c>
      <c r="AY168" s="392">
        <f>IF(ISBLANK(Actuals!AZ63),0,Actuals!AZ63)</f>
        <v/>
      </c>
      <c r="AZ168" s="392">
        <f>IF(ISBLANK(Actuals!BA63),0,Actuals!BA63)</f>
        <v/>
      </c>
      <c r="BA168" s="392">
        <f>IF(ISBLANK(Actuals!BB63),0,Actuals!BB63)</f>
        <v/>
      </c>
      <c r="BB168" s="392">
        <f>IF(ISBLANK(Actuals!BC63),0,Actuals!BC63)</f>
        <v/>
      </c>
      <c r="BC168" s="392">
        <f>IF(ISBLANK(Actuals!BD63),0,Actuals!BD63)</f>
        <v/>
      </c>
      <c r="BD168" s="392">
        <f>IF(ISBLANK(Actuals!BE63),0,Actuals!BE63)</f>
        <v/>
      </c>
      <c r="BE168" s="392">
        <f>IF(ISBLANK(Actuals!BF63),0,Actuals!BF63)</f>
        <v/>
      </c>
      <c r="BF168" s="392">
        <f>IF(ISBLANK(Actuals!BG63),0,Actuals!BG63)</f>
        <v/>
      </c>
      <c r="BG168" s="392">
        <f>IF(ISBLANK(Actuals!BH63),0,Actuals!BH63)</f>
        <v/>
      </c>
      <c r="BH168" s="392">
        <f>IF(ISBLANK(Actuals!BI63),0,Actuals!BI63)</f>
        <v/>
      </c>
      <c r="BI168" s="392">
        <f>IF(ISBLANK(Actuals!BJ63),0,Actuals!BJ63)</f>
        <v/>
      </c>
      <c r="BJ168" s="392">
        <f>IF(ISBLANK(Actuals!BK63),0,Actuals!BK63)</f>
        <v/>
      </c>
      <c r="BK168" s="392">
        <f>IF(ISBLANK(Actuals!BL63),0,Actuals!BL63)</f>
        <v/>
      </c>
      <c r="BL168" s="392">
        <f>IF(ISBLANK(Actuals!BM63),0,Actuals!BM63)</f>
        <v/>
      </c>
      <c r="BM168" s="392">
        <f>IF(ISBLANK(Actuals!BN63),0,Actuals!BN63)</f>
        <v/>
      </c>
      <c r="BN168" s="392">
        <f>IF(ISBLANK(Actuals!BO63),0,Actuals!BO63)</f>
        <v/>
      </c>
      <c r="BO168" s="392">
        <f>IF(ISBLANK(Actuals!BP63),0,Actuals!BP63)</f>
        <v/>
      </c>
      <c r="BP168" s="392">
        <f>IF(ISBLANK(Actuals!BQ63),0,Actuals!BQ63)</f>
        <v/>
      </c>
      <c r="BQ168" s="392">
        <f>IF(ISBLANK(Actuals!BR63),0,Actuals!BR63)</f>
        <v/>
      </c>
      <c r="BR168" s="392">
        <f>IF(ISBLANK(Actuals!BS63),0,Actuals!BS63)</f>
        <v/>
      </c>
      <c r="BS168" s="392">
        <f>IF(ISBLANK(Actuals!BT63),0,Actuals!BT63)</f>
        <v/>
      </c>
      <c r="BT168" s="392">
        <f>IF(ISBLANK(Actuals!BU63),0,Actuals!BU63)</f>
        <v/>
      </c>
      <c r="BU168" s="392">
        <f>IF(ISBLANK(Actuals!BV63),0,Actuals!BV63)</f>
        <v/>
      </c>
      <c r="BV168" s="392">
        <f>IF(ISBLANK(Actuals!BW63),0,Actuals!BW63)</f>
        <v/>
      </c>
      <c r="BW168" s="392">
        <f>IF(ISBLANK(Actuals!BX63),0,Actuals!BX63)</f>
        <v/>
      </c>
      <c r="BX168" s="392">
        <f>IF(ISBLANK(Actuals!BY63),0,Actuals!BY63)</f>
        <v/>
      </c>
      <c r="BY168" s="392">
        <f>IF(ISBLANK(Actuals!BZ63),0,Actuals!BZ63)</f>
        <v/>
      </c>
      <c r="BZ168" s="392">
        <f>IF(ISBLANK(Actuals!CA63),0,Actuals!CA63)</f>
        <v/>
      </c>
      <c r="CA168" s="392">
        <f>IF(ISBLANK(Actuals!CB63),0,Actuals!CB63)</f>
        <v/>
      </c>
      <c r="CB168" s="392">
        <f>IF(ISBLANK(Actuals!CC63),0,Actuals!CC63)</f>
        <v/>
      </c>
      <c r="CC168" s="392">
        <f>IF(ISBLANK(Actuals!CD63),0,Actuals!CD63)</f>
        <v/>
      </c>
      <c r="CD168" s="392">
        <f>IF(ISBLANK(Actuals!CE63),0,Actuals!CE63)</f>
        <v/>
      </c>
      <c r="CE168" s="392">
        <f>IF(ISBLANK(Actuals!CF63),0,Actuals!CF63)</f>
        <v/>
      </c>
      <c r="CF168" s="392">
        <f>IF(ISBLANK(Actuals!CG63),0,Actuals!CG63)</f>
        <v/>
      </c>
      <c r="CG168" s="392">
        <f>IF(ISBLANK(Actuals!CH63),0,Actuals!CH63)</f>
        <v/>
      </c>
      <c r="CH168" s="392">
        <f>IF(ISBLANK(Actuals!CI63),0,Actuals!CI63)</f>
        <v/>
      </c>
      <c r="CI168" s="392">
        <f>IF(ISBLANK(Actuals!CJ63),0,Actuals!CJ63)</f>
        <v/>
      </c>
      <c r="CJ168" s="392">
        <f>IF(ISBLANK(Actuals!CK63),0,Actuals!CK63)</f>
        <v/>
      </c>
      <c r="CK168" s="392">
        <f>IF(ISBLANK(Actuals!CL63),0,Actuals!CL63)</f>
        <v/>
      </c>
      <c r="CL168" s="392">
        <f>IF(ISBLANK(Actuals!CM63),0,Actuals!CM63)</f>
        <v/>
      </c>
      <c r="CM168" s="392">
        <f>IF(ISBLANK(Actuals!CN63),0,Actuals!CN63)</f>
        <v/>
      </c>
      <c r="CN168" s="392">
        <f>IF(ISBLANK(Actuals!CO63),0,Actuals!CO63)</f>
        <v/>
      </c>
      <c r="CO168" s="392">
        <f>IF(ISBLANK(Actuals!CP63),0,Actuals!CP63)</f>
        <v/>
      </c>
      <c r="CP168" s="392">
        <f>IF(ISBLANK(Actuals!CQ63),0,Actuals!CQ63)</f>
        <v/>
      </c>
      <c r="CQ168" s="392">
        <f>IF(ISBLANK(Actuals!CR63),0,Actuals!CR63)</f>
        <v/>
      </c>
      <c r="CR168" s="392">
        <f>IF(ISBLANK(Actuals!CS63),0,Actuals!CS63)</f>
        <v/>
      </c>
      <c r="CS168" s="392">
        <f>IF(ISBLANK(Actuals!CT63),0,Actuals!CT63)</f>
        <v/>
      </c>
      <c r="CT168" s="392">
        <f>IF(ISBLANK(Actuals!CU63),0,Actuals!CU63)</f>
        <v/>
      </c>
      <c r="CU168" s="392">
        <f>IF(ISBLANK(Actuals!CV63),0,Actuals!CV63)</f>
        <v/>
      </c>
      <c r="CV168" s="392">
        <f>IF(ISBLANK(Actuals!CW63),0,Actuals!CW63)</f>
        <v/>
      </c>
      <c r="CW168" s="392">
        <f>IF(ISBLANK(Actuals!CX63),0,Actuals!CX63)</f>
        <v/>
      </c>
      <c r="CX168" s="392">
        <f>IF(ISBLANK(Actuals!CY63),0,Actuals!CY63)</f>
        <v/>
      </c>
      <c r="CY168" s="392">
        <f>IF(ISBLANK(Actuals!CZ63),0,Actuals!CZ63)</f>
        <v/>
      </c>
      <c r="CZ168" s="392">
        <f>IF(ISBLANK(Actuals!DA63),0,Actuals!DA63)</f>
        <v/>
      </c>
      <c r="DA168" s="392">
        <f>IF(ISBLANK(Actuals!DB63),0,Actuals!DB63)</f>
        <v/>
      </c>
      <c r="DB168" s="392">
        <f>IF(ISBLANK(Actuals!DC63),0,Actuals!DC63)</f>
        <v/>
      </c>
      <c r="DC168" s="392">
        <f>IF(ISBLANK(Actuals!DD63),0,Actuals!DD63)</f>
        <v/>
      </c>
      <c r="DD168" s="392">
        <f>IF(ISBLANK(Actuals!DE63),0,Actuals!DE63)</f>
        <v/>
      </c>
      <c r="DE168" s="392">
        <f>IF(ISBLANK(Actuals!DF63),0,Actuals!DF63)</f>
        <v/>
      </c>
    </row>
    <row r="169" ht="15" customHeight="1" s="410">
      <c r="A169" s="397" t="inlineStr">
        <is>
          <t>Less: Non-Cash Revenue Items (not assumed)</t>
        </is>
      </c>
      <c r="B169" s="392">
        <f>-B168</f>
        <v/>
      </c>
      <c r="C169" s="392">
        <f>-C168</f>
        <v/>
      </c>
      <c r="D169" s="392">
        <f>-D168</f>
        <v/>
      </c>
      <c r="E169" s="392">
        <f>-E168</f>
        <v/>
      </c>
      <c r="F169" s="392">
        <f>-F168</f>
        <v/>
      </c>
      <c r="G169" s="392">
        <f>-G168</f>
        <v/>
      </c>
      <c r="H169" s="392">
        <f>-H168</f>
        <v/>
      </c>
      <c r="I169" s="392">
        <f>-I168</f>
        <v/>
      </c>
      <c r="J169" s="392">
        <f>-J168</f>
        <v/>
      </c>
      <c r="K169" s="392">
        <f>-K168</f>
        <v/>
      </c>
      <c r="L169" s="392">
        <f>-L168</f>
        <v/>
      </c>
      <c r="M169" s="392">
        <f>-M168</f>
        <v/>
      </c>
      <c r="N169" s="392">
        <f>-N168</f>
        <v/>
      </c>
      <c r="O169" s="392">
        <f>-O168</f>
        <v/>
      </c>
      <c r="P169" s="392">
        <f>-P168</f>
        <v/>
      </c>
      <c r="Q169" s="392">
        <f>-Q168</f>
        <v/>
      </c>
      <c r="R169" s="392">
        <f>-R168</f>
        <v/>
      </c>
      <c r="S169" s="392">
        <f>-S168</f>
        <v/>
      </c>
      <c r="T169" s="392">
        <f>-T168</f>
        <v/>
      </c>
      <c r="U169" s="392">
        <f>-U168</f>
        <v/>
      </c>
      <c r="V169" s="392">
        <f>-V168</f>
        <v/>
      </c>
      <c r="W169" s="392">
        <f>-W168</f>
        <v/>
      </c>
      <c r="X169" s="392">
        <f>-X168</f>
        <v/>
      </c>
      <c r="Y169" s="392">
        <f>-Y168</f>
        <v/>
      </c>
      <c r="Z169" s="392">
        <f>-Z168</f>
        <v/>
      </c>
      <c r="AA169" s="392">
        <f>-AA168</f>
        <v/>
      </c>
      <c r="AB169" s="392">
        <f>-AB168</f>
        <v/>
      </c>
      <c r="AC169" s="392">
        <f>-AC168</f>
        <v/>
      </c>
      <c r="AD169" s="392">
        <f>-AD168</f>
        <v/>
      </c>
      <c r="AE169" s="392">
        <f>-AE168</f>
        <v/>
      </c>
      <c r="AF169" s="392">
        <f>-AF168</f>
        <v/>
      </c>
      <c r="AG169" s="392">
        <f>-AG168</f>
        <v/>
      </c>
      <c r="AH169" s="392">
        <f>-AH168</f>
        <v/>
      </c>
      <c r="AI169" s="392">
        <f>-AI168</f>
        <v/>
      </c>
      <c r="AJ169" s="392">
        <f>-AJ168</f>
        <v/>
      </c>
      <c r="AK169" s="392">
        <f>-AK168</f>
        <v/>
      </c>
      <c r="AL169" s="392">
        <f>-AL168</f>
        <v/>
      </c>
      <c r="AM169" s="392">
        <f>-AM168</f>
        <v/>
      </c>
      <c r="AN169" s="392">
        <f>-AN168</f>
        <v/>
      </c>
      <c r="AO169" s="392">
        <f>-AO168</f>
        <v/>
      </c>
      <c r="AP169" s="392">
        <f>-AP168</f>
        <v/>
      </c>
      <c r="AQ169" s="392">
        <f>-AQ168</f>
        <v/>
      </c>
      <c r="AR169" s="392">
        <f>-AR168</f>
        <v/>
      </c>
      <c r="AS169" s="392">
        <f>-AS168</f>
        <v/>
      </c>
      <c r="AT169" s="392">
        <f>-AT168</f>
        <v/>
      </c>
      <c r="AU169" s="392">
        <f>-AU168</f>
        <v/>
      </c>
      <c r="AV169" s="392">
        <f>-AV168</f>
        <v/>
      </c>
      <c r="AW169" s="392">
        <f>-AW168</f>
        <v/>
      </c>
      <c r="AX169" s="392">
        <f>-AX168</f>
        <v/>
      </c>
      <c r="AY169" s="392">
        <f>-AY168</f>
        <v/>
      </c>
      <c r="AZ169" s="392">
        <f>-AZ168</f>
        <v/>
      </c>
      <c r="BA169" s="392">
        <f>-BA168</f>
        <v/>
      </c>
      <c r="BB169" s="392">
        <f>-BB168</f>
        <v/>
      </c>
      <c r="BC169" s="392">
        <f>-BC168</f>
        <v/>
      </c>
      <c r="BD169" s="392">
        <f>-BD168</f>
        <v/>
      </c>
      <c r="BE169" s="392">
        <f>-BE168</f>
        <v/>
      </c>
      <c r="BF169" s="392">
        <f>-BF168</f>
        <v/>
      </c>
      <c r="BG169" s="392">
        <f>-BG168</f>
        <v/>
      </c>
      <c r="BH169" s="392">
        <f>-BH168</f>
        <v/>
      </c>
      <c r="BI169" s="392">
        <f>-BI168</f>
        <v/>
      </c>
      <c r="BJ169" s="392">
        <f>-BJ168</f>
        <v/>
      </c>
      <c r="BK169" s="392">
        <f>-BK168</f>
        <v/>
      </c>
      <c r="BL169" s="392">
        <f>-BL168</f>
        <v/>
      </c>
      <c r="BM169" s="392">
        <f>-BM168</f>
        <v/>
      </c>
      <c r="BN169" s="392">
        <f>-BN168</f>
        <v/>
      </c>
      <c r="BO169" s="392">
        <f>-BO168</f>
        <v/>
      </c>
      <c r="BP169" s="392">
        <f>-BP168</f>
        <v/>
      </c>
      <c r="BQ169" s="392">
        <f>-BQ168</f>
        <v/>
      </c>
      <c r="BR169" s="392">
        <f>-BR168</f>
        <v/>
      </c>
      <c r="BS169" s="392">
        <f>-BS168</f>
        <v/>
      </c>
      <c r="BT169" s="392">
        <f>-BT168</f>
        <v/>
      </c>
      <c r="BU169" s="392">
        <f>-BU168</f>
        <v/>
      </c>
      <c r="BV169" s="392">
        <f>-BV168</f>
        <v/>
      </c>
      <c r="BW169" s="392">
        <f>-BW168</f>
        <v/>
      </c>
      <c r="BX169" s="392">
        <f>-BX168</f>
        <v/>
      </c>
      <c r="BY169" s="392">
        <f>-BY168</f>
        <v/>
      </c>
      <c r="BZ169" s="392">
        <f>-BZ168</f>
        <v/>
      </c>
      <c r="CA169" s="392">
        <f>-CA168</f>
        <v/>
      </c>
      <c r="CB169" s="392">
        <f>-CB168</f>
        <v/>
      </c>
      <c r="CC169" s="392">
        <f>-CC168</f>
        <v/>
      </c>
      <c r="CD169" s="392">
        <f>-CD168</f>
        <v/>
      </c>
      <c r="CE169" s="392">
        <f>-CE168</f>
        <v/>
      </c>
      <c r="CF169" s="392">
        <f>-CF168</f>
        <v/>
      </c>
      <c r="CG169" s="392">
        <f>-CG168</f>
        <v/>
      </c>
      <c r="CH169" s="392">
        <f>-CH168</f>
        <v/>
      </c>
      <c r="CI169" s="392">
        <f>-CI168</f>
        <v/>
      </c>
      <c r="CJ169" s="392">
        <f>-CJ168</f>
        <v/>
      </c>
      <c r="CK169" s="392">
        <f>-CK168</f>
        <v/>
      </c>
      <c r="CL169" s="392">
        <f>-CL168</f>
        <v/>
      </c>
      <c r="CM169" s="392">
        <f>-CM168</f>
        <v/>
      </c>
      <c r="CN169" s="392">
        <f>-CN168</f>
        <v/>
      </c>
      <c r="CO169" s="392">
        <f>-CO168</f>
        <v/>
      </c>
      <c r="CP169" s="392">
        <f>-CP168</f>
        <v/>
      </c>
      <c r="CQ169" s="392">
        <f>-CQ168</f>
        <v/>
      </c>
      <c r="CR169" s="392">
        <f>-CR168</f>
        <v/>
      </c>
      <c r="CS169" s="392">
        <f>-CS168</f>
        <v/>
      </c>
      <c r="CT169" s="392">
        <f>-CT168</f>
        <v/>
      </c>
      <c r="CU169" s="392">
        <f>-CU168</f>
        <v/>
      </c>
      <c r="CV169" s="392">
        <f>-CV168</f>
        <v/>
      </c>
      <c r="CW169" s="392">
        <f>-CW168</f>
        <v/>
      </c>
      <c r="CX169" s="392">
        <f>-CX168</f>
        <v/>
      </c>
      <c r="CY169" s="392">
        <f>-CY168</f>
        <v/>
      </c>
      <c r="CZ169" s="392">
        <f>-CZ168</f>
        <v/>
      </c>
      <c r="DA169" s="392">
        <f>-DA168</f>
        <v/>
      </c>
      <c r="DB169" s="392">
        <f>-DB168</f>
        <v/>
      </c>
      <c r="DC169" s="392">
        <f>-DC168</f>
        <v/>
      </c>
      <c r="DD169" s="392">
        <f>-DD168</f>
        <v/>
      </c>
      <c r="DE169" s="392">
        <f>-DE168</f>
        <v/>
      </c>
    </row>
    <row r="170" ht="15" customFormat="1" customHeight="1" s="380">
      <c r="A170" s="397" t="inlineStr">
        <is>
          <t>APA LLP Net Income (Six Peak 50% share)</t>
        </is>
      </c>
      <c r="B170" s="392" t="n"/>
      <c r="C170" s="392" t="n"/>
      <c r="D170" s="392" t="n"/>
      <c r="E170" s="392" t="n"/>
      <c r="F170" s="392" t="n"/>
      <c r="G170" s="392" t="n"/>
      <c r="H170" s="392" t="n">
        <v>0</v>
      </c>
      <c r="I170" s="392">
        <f>IF(I$3&lt;'APA Assumptions'!$B$40,0,(1-'APA Assumptions'!$B$39)*MAX(0,0.5*'APA Projection'!C$23))</f>
        <v/>
      </c>
      <c r="J170" s="392">
        <f>IF(J$3&lt;'APA Assumptions'!$B$40,0,(1-'APA Assumptions'!$B$39)*MAX(0,0.5*'APA Projection'!D$23))</f>
        <v/>
      </c>
      <c r="K170" s="392">
        <f>IF(K$3&lt;'APA Assumptions'!$B$40,0,(1-'APA Assumptions'!$B$39)*MAX(0,0.5*'APA Projection'!E$23))</f>
        <v/>
      </c>
      <c r="L170" s="392">
        <f>IF(L$3&lt;'APA Assumptions'!$B$40,0,(1-'APA Assumptions'!$B$39)*MAX(0,0.5*'APA Projection'!F$23))</f>
        <v/>
      </c>
      <c r="M170" s="392">
        <f>IF(M$3&lt;'APA Assumptions'!$B$40,0,(1-'APA Assumptions'!$B$39)*MAX(0,0.5*'APA Projection'!G$23))</f>
        <v/>
      </c>
      <c r="N170" s="392">
        <f>IF(N$3&lt;'APA Assumptions'!$B$40,0,(1-'APA Assumptions'!$B$39)*MAX(0,0.5*'APA Projection'!H$23))</f>
        <v/>
      </c>
      <c r="O170" s="392">
        <f>IF(O$3&lt;'APA Assumptions'!$B$40,0,(1-'APA Assumptions'!$B$39)*MAX(0,0.5*'APA Projection'!I$23))</f>
        <v/>
      </c>
      <c r="P170" s="392">
        <f>IF(P$3&lt;'APA Assumptions'!$B$40,0,(1-'APA Assumptions'!$B$39)*MAX(0,0.5*'APA Projection'!J$23))</f>
        <v/>
      </c>
      <c r="Q170" s="392">
        <f>IF(Q$3&lt;'APA Assumptions'!$B$40,0,(1-'APA Assumptions'!$B$39)*MAX(0,0.5*'APA Projection'!K$23))</f>
        <v/>
      </c>
      <c r="R170" s="392">
        <f>IF(R$3&lt;'APA Assumptions'!$B$40,0,(1-'APA Assumptions'!$B$39)*MAX(0,0.5*'APA Projection'!L$23))</f>
        <v/>
      </c>
      <c r="S170" s="392">
        <f>IF(S$3&lt;'APA Assumptions'!$B$40,0,(1-'APA Assumptions'!$B$39)*MAX(0,0.5*'APA Projection'!M$23))</f>
        <v/>
      </c>
      <c r="T170" s="392">
        <f>IF(T$3&lt;'APA Assumptions'!$B$40,0,(1-'APA Assumptions'!$B$39)*MAX(0,0.5*'APA Projection'!N$23))</f>
        <v/>
      </c>
      <c r="U170" s="392">
        <f>IF(U$3&lt;'APA Assumptions'!$B$40,0,(1-'APA Assumptions'!$B$39)*MAX(0,0.5*'APA Projection'!O$23))</f>
        <v/>
      </c>
      <c r="V170" s="392">
        <f>IF(V$3&lt;'APA Assumptions'!$B$40,0,(1-'APA Assumptions'!$B$39)*MAX(0,0.5*'APA Projection'!P$23))</f>
        <v/>
      </c>
      <c r="W170" s="392">
        <f>IF(W$3&lt;'APA Assumptions'!$B$40,0,(1-'APA Assumptions'!$B$39)*MAX(0,0.5*'APA Projection'!Q$23))</f>
        <v/>
      </c>
      <c r="X170" s="392">
        <f>IF(X$3&lt;'APA Assumptions'!$B$40,0,(1-'APA Assumptions'!$B$39)*MAX(0,0.5*'APA Projection'!R$23))</f>
        <v/>
      </c>
      <c r="Y170" s="392">
        <f>IF(Y$3&lt;'APA Assumptions'!$B$40,0,(1-'APA Assumptions'!$B$39)*MAX(0,0.5*'APA Projection'!S$23))</f>
        <v/>
      </c>
      <c r="Z170" s="392">
        <f>IF(Z$3&lt;'APA Assumptions'!$B$40,0,(1-'APA Assumptions'!$B$39)*MAX(0,0.5*'APA Projection'!T$23))</f>
        <v/>
      </c>
      <c r="AA170" s="392">
        <f>IF(AA$3&lt;'APA Assumptions'!$B$40,0,(1-'APA Assumptions'!$B$39)*MAX(0,0.5*'APA Projection'!U$23))</f>
        <v/>
      </c>
      <c r="AB170" s="392">
        <f>IF(AB$3&lt;'APA Assumptions'!$B$40,0,(1-'APA Assumptions'!$B$39)*MAX(0,0.5*'APA Projection'!V$23))</f>
        <v/>
      </c>
      <c r="AC170" s="392">
        <f>IF(AC$3&lt;'APA Assumptions'!$B$40,0,(1-'APA Assumptions'!$B$39)*MAX(0,0.5*'APA Projection'!W$23))</f>
        <v/>
      </c>
      <c r="AD170" s="392">
        <f>IF(AD$3&lt;'APA Assumptions'!$B$40,0,(1-'APA Assumptions'!$B$39)*MAX(0,0.5*'APA Projection'!X$23))</f>
        <v/>
      </c>
      <c r="AE170" s="392">
        <f>IF(AE$3&lt;'APA Assumptions'!$B$40,0,(1-'APA Assumptions'!$B$39)*MAX(0,0.5*'APA Projection'!Y$23))</f>
        <v/>
      </c>
      <c r="AF170" s="392">
        <f>IF(AF$3&lt;'APA Assumptions'!$B$40,0,(1-'APA Assumptions'!$B$39)*MAX(0,0.5*'APA Projection'!Z$23))</f>
        <v/>
      </c>
      <c r="AG170" s="392">
        <f>IF(AG$3&lt;'APA Assumptions'!$B$40,0,(1-'APA Assumptions'!$B$39)*MAX(0,0.5*'APA Projection'!AA$23))</f>
        <v/>
      </c>
      <c r="AH170" s="392">
        <f>IF(AH$3&lt;'APA Assumptions'!$B$40,0,(1-'APA Assumptions'!$B$39)*MAX(0,0.5*'APA Projection'!AB$23))</f>
        <v/>
      </c>
      <c r="AI170" s="392">
        <f>IF(AI$3&lt;'APA Assumptions'!$B$40,0,(1-'APA Assumptions'!$B$39)*MAX(0,0.5*'APA Projection'!AC$23))</f>
        <v/>
      </c>
      <c r="AJ170" s="392">
        <f>IF(AJ$3&lt;'APA Assumptions'!$B$40,0,(1-'APA Assumptions'!$B$39)*MAX(0,0.5*'APA Projection'!AD$23))</f>
        <v/>
      </c>
      <c r="AK170" s="392">
        <f>IF(AK$3&lt;'APA Assumptions'!$B$40,0,(1-'APA Assumptions'!$B$39)*MAX(0,0.5*'APA Projection'!AE$23))</f>
        <v/>
      </c>
      <c r="AL170" s="392">
        <f>IF(AL$3&lt;'APA Assumptions'!$B$40,0,(1-'APA Assumptions'!$B$39)*MAX(0,0.5*'APA Projection'!AF$23))</f>
        <v/>
      </c>
      <c r="AM170" s="392">
        <f>IF(AM$3&lt;'APA Assumptions'!$B$40,0,(1-'APA Assumptions'!$B$39)*MAX(0,0.5*'APA Projection'!AG$23))</f>
        <v/>
      </c>
      <c r="AN170" s="392">
        <f>IF(AN$3&lt;'APA Assumptions'!$B$40,0,(1-'APA Assumptions'!$B$39)*MAX(0,0.5*'APA Projection'!AH$23))</f>
        <v/>
      </c>
      <c r="AO170" s="392">
        <f>IF(AO$3&lt;'APA Assumptions'!$B$40,0,(1-'APA Assumptions'!$B$39)*MAX(0,0.5*'APA Projection'!AI$23))</f>
        <v/>
      </c>
      <c r="AP170" s="392">
        <f>IF(AP$3&lt;'APA Assumptions'!$B$40,0,(1-'APA Assumptions'!$B$39)*MAX(0,0.5*'APA Projection'!AJ$23))</f>
        <v/>
      </c>
      <c r="AQ170" s="392">
        <f>IF(AQ$3&lt;'APA Assumptions'!$B$40,0,(1-'APA Assumptions'!$B$39)*MAX(0,0.5*'APA Projection'!AK$23))</f>
        <v/>
      </c>
      <c r="AR170" s="392">
        <f>IF(AR$3&lt;'APA Assumptions'!$B$40,0,(1-'APA Assumptions'!$B$39)*MAX(0,0.5*'APA Projection'!AL$23))</f>
        <v/>
      </c>
      <c r="AS170" s="392">
        <f>IF(AS$3&lt;'APA Assumptions'!$B$40,0,(1-'APA Assumptions'!$B$39)*MAX(0,0.5*'APA Projection'!AM$23))</f>
        <v/>
      </c>
      <c r="AT170" s="392" t="n"/>
      <c r="AU170" s="392" t="n"/>
      <c r="AV170" s="392" t="n"/>
      <c r="AW170" s="392" t="n"/>
      <c r="AX170" s="392" t="n"/>
      <c r="AY170" s="392" t="n"/>
      <c r="AZ170" s="392" t="n"/>
      <c r="BA170" s="392" t="n"/>
      <c r="BB170" s="392" t="n"/>
      <c r="BC170" s="392" t="n"/>
      <c r="BD170" s="392" t="n"/>
      <c r="BE170" s="392" t="n"/>
      <c r="BF170" s="392" t="n"/>
      <c r="BG170" s="392" t="n"/>
      <c r="BH170" s="392" t="n"/>
      <c r="BI170" s="392" t="n"/>
      <c r="BJ170" s="392" t="n"/>
      <c r="BK170" s="392" t="n"/>
      <c r="BL170" s="392" t="n"/>
      <c r="BM170" s="392" t="n"/>
      <c r="BN170" s="392" t="n"/>
      <c r="BO170" s="392" t="n"/>
      <c r="BP170" s="392" t="n"/>
      <c r="BQ170" s="392" t="n"/>
      <c r="BR170" s="392" t="n"/>
      <c r="BS170" s="392" t="n"/>
      <c r="BT170" s="392" t="n"/>
      <c r="BU170" s="392" t="n"/>
      <c r="BV170" s="392" t="n"/>
      <c r="BW170" s="392" t="n"/>
      <c r="BX170" s="392" t="n"/>
      <c r="BY170" s="392" t="n"/>
      <c r="BZ170" s="392" t="n"/>
      <c r="CA170" s="392" t="n"/>
      <c r="CB170" s="392" t="n"/>
      <c r="CC170" s="392" t="n"/>
      <c r="CD170" s="392" t="n"/>
      <c r="CE170" s="392" t="n"/>
      <c r="CF170" s="392" t="n"/>
      <c r="CG170" s="392" t="n"/>
      <c r="CH170" s="392" t="n"/>
      <c r="CI170" s="392" t="n"/>
      <c r="CJ170" s="392" t="n"/>
      <c r="CK170" s="392" t="n"/>
      <c r="CL170" s="392" t="n"/>
      <c r="CM170" s="392" t="n"/>
      <c r="CN170" s="392" t="n"/>
      <c r="CO170" s="392" t="n"/>
      <c r="CP170" s="392" t="n"/>
      <c r="CQ170" s="392" t="n"/>
      <c r="CR170" s="392" t="n"/>
      <c r="CS170" s="392" t="n"/>
      <c r="CT170" s="392" t="n"/>
      <c r="CU170" s="392" t="n"/>
      <c r="CV170" s="392" t="n"/>
      <c r="CW170" s="392" t="n"/>
      <c r="CX170" s="392" t="n"/>
      <c r="CY170" s="392" t="n"/>
      <c r="CZ170" s="392" t="n"/>
      <c r="DA170" s="392" t="n"/>
      <c r="DB170" s="392" t="n"/>
      <c r="DC170" s="392" t="n"/>
      <c r="DD170" s="392" t="n"/>
      <c r="DE170" s="392" t="n"/>
    </row>
    <row r="171" ht="19.5" customFormat="1" customHeight="1" s="380">
      <c r="A171" s="408" t="inlineStr">
        <is>
          <t>Total Six Peak Revenue</t>
        </is>
      </c>
      <c r="B171" s="409">
        <f>SUM(B150:B170)</f>
        <v/>
      </c>
      <c r="C171" s="409">
        <f>SUM(C150:C170)</f>
        <v/>
      </c>
      <c r="D171" s="409">
        <f>SUM(D150:D170)</f>
        <v/>
      </c>
      <c r="E171" s="409">
        <f>SUM(E150:E170)</f>
        <v/>
      </c>
      <c r="F171" s="409">
        <f>SUM(F150:F170)</f>
        <v/>
      </c>
      <c r="G171" s="409">
        <f>SUM(G150:G170)</f>
        <v/>
      </c>
      <c r="H171" s="409">
        <f>SUM(H150:H170)</f>
        <v/>
      </c>
      <c r="I171" s="409">
        <f>SUM(I150:I170)</f>
        <v/>
      </c>
      <c r="J171" s="409">
        <f>SUM(J150:J170)</f>
        <v/>
      </c>
      <c r="K171" s="409">
        <f>SUM(K150:K170)</f>
        <v/>
      </c>
      <c r="L171" s="409">
        <f>SUM(L150:L170)</f>
        <v/>
      </c>
      <c r="M171" s="409">
        <f>SUM(M150:M170)</f>
        <v/>
      </c>
      <c r="N171" s="409">
        <f>SUM(N150:N170)</f>
        <v/>
      </c>
      <c r="O171" s="409">
        <f>SUM(O150:O170)</f>
        <v/>
      </c>
      <c r="P171" s="409">
        <f>SUM(P150:P170)</f>
        <v/>
      </c>
      <c r="Q171" s="409">
        <f>SUM(Q150:Q170)</f>
        <v/>
      </c>
      <c r="R171" s="409">
        <f>SUM(R150:R170)</f>
        <v/>
      </c>
      <c r="S171" s="409">
        <f>SUM(S150:S170)</f>
        <v/>
      </c>
      <c r="T171" s="409">
        <f>SUM(T150:T170)</f>
        <v/>
      </c>
      <c r="U171" s="409">
        <f>SUM(U150:U170)</f>
        <v/>
      </c>
      <c r="V171" s="409">
        <f>SUM(V150:V170)</f>
        <v/>
      </c>
      <c r="W171" s="409">
        <f>SUM(W150:W170)</f>
        <v/>
      </c>
      <c r="X171" s="409">
        <f>SUM(X150:X170)</f>
        <v/>
      </c>
      <c r="Y171" s="409">
        <f>SUM(Y150:Y170)</f>
        <v/>
      </c>
      <c r="Z171" s="409">
        <f>SUM(Z150:Z170)</f>
        <v/>
      </c>
      <c r="AA171" s="409">
        <f>SUM(AA150:AA170)</f>
        <v/>
      </c>
      <c r="AB171" s="409">
        <f>SUM(AB150:AB170)</f>
        <v/>
      </c>
      <c r="AC171" s="409">
        <f>SUM(AC150:AC170)</f>
        <v/>
      </c>
      <c r="AD171" s="409">
        <f>SUM(AD150:AD170)</f>
        <v/>
      </c>
      <c r="AE171" s="409">
        <f>SUM(AE150:AE170)</f>
        <v/>
      </c>
      <c r="AF171" s="409">
        <f>SUM(AF150:AF170)</f>
        <v/>
      </c>
      <c r="AG171" s="409">
        <f>SUM(AG150:AG170)</f>
        <v/>
      </c>
      <c r="AH171" s="409">
        <f>SUM(AH150:AH170)</f>
        <v/>
      </c>
      <c r="AI171" s="409">
        <f>SUM(AI150:AI170)</f>
        <v/>
      </c>
      <c r="AJ171" s="409">
        <f>SUM(AJ150:AJ170)</f>
        <v/>
      </c>
      <c r="AK171" s="409">
        <f>SUM(AK150:AK170)</f>
        <v/>
      </c>
      <c r="AL171" s="409">
        <f>SUM(AL150:AL170)</f>
        <v/>
      </c>
      <c r="AM171" s="409">
        <f>SUM(AM150:AM170)</f>
        <v/>
      </c>
      <c r="AN171" s="409">
        <f>SUM(AN150:AN170)</f>
        <v/>
      </c>
      <c r="AO171" s="409">
        <f>SUM(AO150:AO170)</f>
        <v/>
      </c>
      <c r="AP171" s="409">
        <f>SUM(AP150:AP170)</f>
        <v/>
      </c>
      <c r="AQ171" s="409">
        <f>SUM(AQ150:AQ170)</f>
        <v/>
      </c>
      <c r="AR171" s="409">
        <f>SUM(AR150:AR170)</f>
        <v/>
      </c>
      <c r="AS171" s="409">
        <f>SUM(AS150:AS170)</f>
        <v/>
      </c>
      <c r="AT171" s="409">
        <f>SUM(AT150:AT170)</f>
        <v/>
      </c>
      <c r="AU171" s="409">
        <f>SUM(AU150:AU170)</f>
        <v/>
      </c>
      <c r="AV171" s="409">
        <f>SUM(AV150:AV170)</f>
        <v/>
      </c>
      <c r="AW171" s="409">
        <f>SUM(AW150:AW170)</f>
        <v/>
      </c>
      <c r="AX171" s="409">
        <f>SUM(AX150:AX170)</f>
        <v/>
      </c>
      <c r="AY171" s="409">
        <f>SUM(AY150:AY170)</f>
        <v/>
      </c>
      <c r="AZ171" s="409">
        <f>SUM(AZ150:AZ170)</f>
        <v/>
      </c>
      <c r="BA171" s="409">
        <f>SUM(BA150:BA170)</f>
        <v/>
      </c>
      <c r="BB171" s="409">
        <f>SUM(BB150:BB170)</f>
        <v/>
      </c>
      <c r="BC171" s="409">
        <f>SUM(BC150:BC170)</f>
        <v/>
      </c>
      <c r="BD171" s="409">
        <f>SUM(BD150:BD170)</f>
        <v/>
      </c>
      <c r="BE171" s="409">
        <f>SUM(BE150:BE170)</f>
        <v/>
      </c>
      <c r="BF171" s="409">
        <f>SUM(BF150:BF170)</f>
        <v/>
      </c>
      <c r="BG171" s="409">
        <f>SUM(BG150:BG170)</f>
        <v/>
      </c>
      <c r="BH171" s="409">
        <f>SUM(BH150:BH170)</f>
        <v/>
      </c>
      <c r="BI171" s="409">
        <f>SUM(BI150:BI170)</f>
        <v/>
      </c>
      <c r="BJ171" s="409">
        <f>SUM(BJ150:BJ170)</f>
        <v/>
      </c>
      <c r="BK171" s="409">
        <f>SUM(BK150:BK170)</f>
        <v/>
      </c>
      <c r="BL171" s="409">
        <f>SUM(BL150:BL170)</f>
        <v/>
      </c>
      <c r="BM171" s="409">
        <f>SUM(BM150:BM170)</f>
        <v/>
      </c>
      <c r="BN171" s="409">
        <f>SUM(BN150:BN170)</f>
        <v/>
      </c>
      <c r="BO171" s="409">
        <f>SUM(BO150:BO170)</f>
        <v/>
      </c>
      <c r="BP171" s="409">
        <f>SUM(BP150:BP170)</f>
        <v/>
      </c>
      <c r="BQ171" s="409">
        <f>SUM(BQ150:BQ170)</f>
        <v/>
      </c>
      <c r="BR171" s="409">
        <f>SUM(BR150:BR170)</f>
        <v/>
      </c>
      <c r="BS171" s="409">
        <f>SUM(BS150:BS170)</f>
        <v/>
      </c>
      <c r="BT171" s="409">
        <f>SUM(BT150:BT170)</f>
        <v/>
      </c>
      <c r="BU171" s="409">
        <f>SUM(BU150:BU170)</f>
        <v/>
      </c>
      <c r="BV171" s="409">
        <f>SUM(BV150:BV170)</f>
        <v/>
      </c>
      <c r="BW171" s="409">
        <f>SUM(BW150:BW170)</f>
        <v/>
      </c>
      <c r="BX171" s="409">
        <f>SUM(BX150:BX170)</f>
        <v/>
      </c>
      <c r="BY171" s="409">
        <f>SUM(BY150:BY170)</f>
        <v/>
      </c>
      <c r="BZ171" s="409">
        <f>SUM(BZ150:BZ170)</f>
        <v/>
      </c>
      <c r="CA171" s="409">
        <f>SUM(CA150:CA170)</f>
        <v/>
      </c>
      <c r="CB171" s="409">
        <f>SUM(CB150:CB170)</f>
        <v/>
      </c>
      <c r="CC171" s="409">
        <f>SUM(CC150:CC170)</f>
        <v/>
      </c>
      <c r="CD171" s="409">
        <f>SUM(CD150:CD170)</f>
        <v/>
      </c>
      <c r="CE171" s="409">
        <f>SUM(CE150:CE170)</f>
        <v/>
      </c>
      <c r="CF171" s="409">
        <f>SUM(CF150:CF170)</f>
        <v/>
      </c>
      <c r="CG171" s="409">
        <f>SUM(CG150:CG170)</f>
        <v/>
      </c>
      <c r="CH171" s="409">
        <f>SUM(CH150:CH170)</f>
        <v/>
      </c>
      <c r="CI171" s="409">
        <f>SUM(CI150:CI170)</f>
        <v/>
      </c>
      <c r="CJ171" s="409">
        <f>SUM(CJ150:CJ170)</f>
        <v/>
      </c>
      <c r="CK171" s="409">
        <f>SUM(CK150:CK170)</f>
        <v/>
      </c>
      <c r="CL171" s="409">
        <f>SUM(CL150:CL170)</f>
        <v/>
      </c>
      <c r="CM171" s="409">
        <f>SUM(CM150:CM170)</f>
        <v/>
      </c>
      <c r="CN171" s="409">
        <f>SUM(CN150:CN170)</f>
        <v/>
      </c>
      <c r="CO171" s="409">
        <f>SUM(CO150:CO170)</f>
        <v/>
      </c>
      <c r="CP171" s="409">
        <f>SUM(CP150:CP170)</f>
        <v/>
      </c>
      <c r="CQ171" s="409">
        <f>SUM(CQ150:CQ170)</f>
        <v/>
      </c>
      <c r="CR171" s="409">
        <f>SUM(CR150:CR170)</f>
        <v/>
      </c>
      <c r="CS171" s="409">
        <f>SUM(CS150:CS170)</f>
        <v/>
      </c>
      <c r="CT171" s="409">
        <f>SUM(CT150:CT170)</f>
        <v/>
      </c>
      <c r="CU171" s="409">
        <f>SUM(CU150:CU170)</f>
        <v/>
      </c>
      <c r="CV171" s="409">
        <f>SUM(CV150:CV170)</f>
        <v/>
      </c>
      <c r="CW171" s="409">
        <f>SUM(CW150:CW170)</f>
        <v/>
      </c>
      <c r="CX171" s="409">
        <f>SUM(CX150:CX170)</f>
        <v/>
      </c>
      <c r="CY171" s="409">
        <f>SUM(CY150:CY170)</f>
        <v/>
      </c>
      <c r="CZ171" s="409">
        <f>SUM(CZ150:CZ170)</f>
        <v/>
      </c>
      <c r="DA171" s="409">
        <f>SUM(DA150:DA170)</f>
        <v/>
      </c>
      <c r="DB171" s="409">
        <f>SUM(DB150:DB170)</f>
        <v/>
      </c>
      <c r="DC171" s="409">
        <f>SUM(DC150:DC170)</f>
        <v/>
      </c>
      <c r="DD171" s="409">
        <f>SUM(DD150:DD170)</f>
        <v/>
      </c>
      <c r="DE171" s="409">
        <f>SUM(DE150:DE170)</f>
        <v/>
      </c>
    </row>
    <row r="172" ht="15" customFormat="1" customHeight="1" s="380">
      <c r="A172" s="402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Format="1" customHeight="1" s="380">
      <c r="A173" s="415" t="inlineStr">
        <is>
          <t>5000-1000 Payroll</t>
        </is>
      </c>
      <c r="B173" s="401">
        <f>IF(ISBLANK(Actuals!C83),0,Actuals!C83)</f>
        <v/>
      </c>
      <c r="C173" s="401">
        <f>IF(ISBLANK(Actuals!D83),0,Actuals!D83)</f>
        <v/>
      </c>
      <c r="D173" s="401">
        <f>IF(ISBLANK(Actuals!E83),0,Actuals!E83)</f>
        <v/>
      </c>
      <c r="E173" s="401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1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1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1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1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1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1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1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1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1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1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1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1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1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1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1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1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1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1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1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1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1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1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1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1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1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1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1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1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1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1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1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1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1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1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1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1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1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1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1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1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1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1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1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1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1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1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1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1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1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1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1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1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1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1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1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1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1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1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1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1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1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1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1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1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1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1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1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1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1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1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1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1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1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1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1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1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1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1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1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1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1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1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1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1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1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1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1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1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1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1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1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1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1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1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1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1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1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1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1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1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1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1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1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1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Format="1" customHeight="1" s="380">
      <c r="A174" s="415" t="inlineStr">
        <is>
          <t>5000-1001 Payroll Taxes</t>
        </is>
      </c>
      <c r="B174" s="401">
        <f>IF(ISBLANK(Actuals!C84),0,Actuals!C84)</f>
        <v/>
      </c>
      <c r="C174" s="401">
        <f>IF(ISBLANK(Actuals!D84),0,Actuals!D84)</f>
        <v/>
      </c>
      <c r="D174" s="401">
        <f>IF(ISBLANK(Actuals!E84),0,Actuals!E84)</f>
        <v/>
      </c>
      <c r="E174" s="401">
        <f>IF(ISBLANK(Actuals!F84),-Helpers!C5*Assumptions!$B$20,Actuals!F84)</f>
        <v/>
      </c>
      <c r="F174" s="401">
        <f>IF(ISBLANK(Actuals!G84),-Helpers!D5*Assumptions!$B$20,Actuals!G84)</f>
        <v/>
      </c>
      <c r="G174" s="401">
        <f>IF(ISBLANK(Actuals!H84),-Helpers!E5*Assumptions!$B$20,Actuals!H84)</f>
        <v/>
      </c>
      <c r="H174" s="401">
        <f>IF(ISBLANK(Actuals!I84),-Helpers!F5*Assumptions!$B$20,Actuals!I84)</f>
        <v/>
      </c>
      <c r="I174" s="401">
        <f>IF(ISBLANK(Actuals!J84),-Helpers!G5*Assumptions!$B$20,Actuals!J84)</f>
        <v/>
      </c>
      <c r="J174" s="401">
        <f>IF(ISBLANK(Actuals!K84),-Helpers!H5*Assumptions!$B$20,Actuals!K84)</f>
        <v/>
      </c>
      <c r="K174" s="401">
        <f>IF(ISBLANK(Actuals!L84),-Helpers!I5*Assumptions!$B$20,Actuals!L84)</f>
        <v/>
      </c>
      <c r="L174" s="401">
        <f>IF(ISBLANK(Actuals!M84),-Helpers!J5*Assumptions!$B$20,Actuals!M84)</f>
        <v/>
      </c>
      <c r="M174" s="401">
        <f>IF(ISBLANK(Actuals!N84),-Helpers!K5*Assumptions!$B$20,Actuals!N84)</f>
        <v/>
      </c>
      <c r="N174" s="401">
        <f>IF(ISBLANK(Actuals!O84),-Helpers!L5*Assumptions!$B$20,Actuals!O84)</f>
        <v/>
      </c>
      <c r="O174" s="401">
        <f>IF(ISBLANK(Actuals!P84),-Helpers!M5*Assumptions!$B$20,Actuals!P84)</f>
        <v/>
      </c>
      <c r="P174" s="401">
        <f>IF(ISBLANK(Actuals!Q84),-Helpers!N5*Assumptions!$B$20,Actuals!Q84)</f>
        <v/>
      </c>
      <c r="Q174" s="401">
        <f>IF(ISBLANK(Actuals!R84),-Helpers!O5*Assumptions!$B$20,Actuals!R84)</f>
        <v/>
      </c>
      <c r="R174" s="401">
        <f>IF(ISBLANK(Actuals!S84),-Helpers!P5*Assumptions!$B$20,Actuals!S84)</f>
        <v/>
      </c>
      <c r="S174" s="401">
        <f>IF(ISBLANK(Actuals!T84),-Helpers!Q5*Assumptions!$B$20,Actuals!T84)</f>
        <v/>
      </c>
      <c r="T174" s="401">
        <f>IF(ISBLANK(Actuals!U84),-Helpers!R5*Assumptions!$B$20,Actuals!U84)</f>
        <v/>
      </c>
      <c r="U174" s="401">
        <f>IF(ISBLANK(Actuals!V84),-Helpers!S5*Assumptions!$B$20,Actuals!V84)</f>
        <v/>
      </c>
      <c r="V174" s="401">
        <f>IF(ISBLANK(Actuals!W84),-Helpers!T5*Assumptions!$B$20,Actuals!W84)</f>
        <v/>
      </c>
      <c r="W174" s="401">
        <f>IF(ISBLANK(Actuals!X84),-Helpers!U5*Assumptions!$B$20,Actuals!X84)</f>
        <v/>
      </c>
      <c r="X174" s="401">
        <f>IF(ISBLANK(Actuals!Y84),-Helpers!V5*Assumptions!$B$20,Actuals!Y84)</f>
        <v/>
      </c>
      <c r="Y174" s="401">
        <f>IF(ISBLANK(Actuals!Z84),-Helpers!W5*Assumptions!$B$20,Actuals!Z84)</f>
        <v/>
      </c>
      <c r="Z174" s="401">
        <f>IF(ISBLANK(Actuals!AA84),-Helpers!X5*Assumptions!$B$20,Actuals!AA84)</f>
        <v/>
      </c>
      <c r="AA174" s="401">
        <f>IF(ISBLANK(Actuals!AB84),-Helpers!Y5*Assumptions!$B$20,Actuals!AB84)</f>
        <v/>
      </c>
      <c r="AB174" s="401">
        <f>IF(ISBLANK(Actuals!AC84),-Helpers!Z5*Assumptions!$B$20,Actuals!AC84)</f>
        <v/>
      </c>
      <c r="AC174" s="401">
        <f>IF(ISBLANK(Actuals!AD84),-Helpers!AA5*Assumptions!$B$20,Actuals!AD84)</f>
        <v/>
      </c>
      <c r="AD174" s="401">
        <f>IF(ISBLANK(Actuals!AE84),-Helpers!AB5*Assumptions!$B$20,Actuals!AE84)</f>
        <v/>
      </c>
      <c r="AE174" s="401">
        <f>IF(ISBLANK(Actuals!AF84),-Helpers!AC5*Assumptions!$B$20,Actuals!AF84)</f>
        <v/>
      </c>
      <c r="AF174" s="401">
        <f>IF(ISBLANK(Actuals!AG84),-Helpers!AD5*Assumptions!$B$20,Actuals!AG84)</f>
        <v/>
      </c>
      <c r="AG174" s="401">
        <f>IF(ISBLANK(Actuals!AH84),-Helpers!AE5*Assumptions!$B$20,Actuals!AH84)</f>
        <v/>
      </c>
      <c r="AH174" s="401">
        <f>IF(ISBLANK(Actuals!AI84),-Helpers!AF5*Assumptions!$B$20,Actuals!AI84)</f>
        <v/>
      </c>
      <c r="AI174" s="401">
        <f>IF(ISBLANK(Actuals!AJ84),-Helpers!AG5*Assumptions!$B$20,Actuals!AJ84)</f>
        <v/>
      </c>
      <c r="AJ174" s="401">
        <f>IF(ISBLANK(Actuals!AK84),-Helpers!AH5*Assumptions!$B$20,Actuals!AK84)</f>
        <v/>
      </c>
      <c r="AK174" s="401">
        <f>IF(ISBLANK(Actuals!AL84),-Helpers!AI5*Assumptions!$B$20,Actuals!AL84)</f>
        <v/>
      </c>
      <c r="AL174" s="401">
        <f>IF(ISBLANK(Actuals!AM84),-Helpers!AJ5*Assumptions!$B$20,Actuals!AM84)</f>
        <v/>
      </c>
      <c r="AM174" s="401">
        <f>IF(ISBLANK(Actuals!AN84),-Helpers!AK5*Assumptions!$B$20,Actuals!AN84)</f>
        <v/>
      </c>
      <c r="AN174" s="401">
        <f>IF(ISBLANK(Actuals!AO84),-Helpers!AL5*Assumptions!$B$20,Actuals!AO84)</f>
        <v/>
      </c>
      <c r="AO174" s="401">
        <f>IF(ISBLANK(Actuals!AP84),-Helpers!AM5*Assumptions!$B$20,Actuals!AP84)</f>
        <v/>
      </c>
      <c r="AP174" s="401">
        <f>IF(ISBLANK(Actuals!AQ84),-Helpers!AN5*Assumptions!$B$20,Actuals!AQ84)</f>
        <v/>
      </c>
      <c r="AQ174" s="401">
        <f>IF(ISBLANK(Actuals!AR84),-Helpers!AO5*Assumptions!$B$20,Actuals!AR84)</f>
        <v/>
      </c>
      <c r="AR174" s="401">
        <f>IF(ISBLANK(Actuals!AS84),-Helpers!AP5*Assumptions!$B$20,Actuals!AS84)</f>
        <v/>
      </c>
      <c r="AS174" s="401">
        <f>IF(ISBLANK(Actuals!AT84),-Helpers!AQ5*Assumptions!$B$20,Actuals!AT84)</f>
        <v/>
      </c>
      <c r="AT174" s="401">
        <f>IF(ISBLANK(Actuals!AU84),-Helpers!AR5*Assumptions!$B$20,Actuals!AU84)</f>
        <v/>
      </c>
      <c r="AU174" s="401">
        <f>IF(ISBLANK(Actuals!AV84),-Helpers!AS5*Assumptions!$B$20,Actuals!AV84)</f>
        <v/>
      </c>
      <c r="AV174" s="401">
        <f>IF(ISBLANK(Actuals!AW84),-Helpers!AT5*Assumptions!$B$20,Actuals!AW84)</f>
        <v/>
      </c>
      <c r="AW174" s="401">
        <f>IF(ISBLANK(Actuals!AX84),-Helpers!AU5*Assumptions!$B$20,Actuals!AX84)</f>
        <v/>
      </c>
      <c r="AX174" s="401">
        <f>IF(ISBLANK(Actuals!AY84),-Helpers!AV5*Assumptions!$B$20,Actuals!AY84)</f>
        <v/>
      </c>
      <c r="AY174" s="401">
        <f>IF(ISBLANK(Actuals!AZ84),-Helpers!AW5*Assumptions!$B$20,Actuals!AZ84)</f>
        <v/>
      </c>
      <c r="AZ174" s="401">
        <f>IF(ISBLANK(Actuals!BA84),-Helpers!AX5*Assumptions!$B$20,Actuals!BA84)</f>
        <v/>
      </c>
      <c r="BA174" s="401">
        <f>IF(ISBLANK(Actuals!BB84),-Helpers!AY5*Assumptions!$B$20,Actuals!BB84)</f>
        <v/>
      </c>
      <c r="BB174" s="401">
        <f>IF(ISBLANK(Actuals!BC84),-Helpers!AZ5*Assumptions!$B$20,Actuals!BC84)</f>
        <v/>
      </c>
      <c r="BC174" s="401">
        <f>IF(ISBLANK(Actuals!BD84),-Helpers!BA5*Assumptions!$B$20,Actuals!BD84)</f>
        <v/>
      </c>
      <c r="BD174" s="401">
        <f>IF(ISBLANK(Actuals!BE84),-Helpers!BB5*Assumptions!$B$20,Actuals!BE84)</f>
        <v/>
      </c>
      <c r="BE174" s="401">
        <f>IF(ISBLANK(Actuals!BF84),-Helpers!BC5*Assumptions!$B$20,Actuals!BF84)</f>
        <v/>
      </c>
      <c r="BF174" s="401">
        <f>IF(ISBLANK(Actuals!BG84),-Helpers!BD5*Assumptions!$B$20,Actuals!BG84)</f>
        <v/>
      </c>
      <c r="BG174" s="401">
        <f>IF(ISBLANK(Actuals!BH84),-Helpers!BE5*Assumptions!$B$20,Actuals!BH84)</f>
        <v/>
      </c>
      <c r="BH174" s="401">
        <f>IF(ISBLANK(Actuals!BI84),-Helpers!BF5*Assumptions!$B$20,Actuals!BI84)</f>
        <v/>
      </c>
      <c r="BI174" s="401">
        <f>IF(ISBLANK(Actuals!BJ84),-Helpers!BG5*Assumptions!$B$20,Actuals!BJ84)</f>
        <v/>
      </c>
      <c r="BJ174" s="401">
        <f>IF(ISBLANK(Actuals!BK84),-Helpers!BH5*Assumptions!$B$20,Actuals!BK84)</f>
        <v/>
      </c>
      <c r="BK174" s="401">
        <f>IF(ISBLANK(Actuals!BL84),-Helpers!BI5*Assumptions!$B$20,Actuals!BL84)</f>
        <v/>
      </c>
      <c r="BL174" s="401">
        <f>IF(ISBLANK(Actuals!BM84),-Helpers!BJ5*Assumptions!$B$20,Actuals!BM84)</f>
        <v/>
      </c>
      <c r="BM174" s="401">
        <f>IF(ISBLANK(Actuals!BN84),-Helpers!BK5*Assumptions!$B$20,Actuals!BN84)</f>
        <v/>
      </c>
      <c r="BN174" s="401">
        <f>IF(ISBLANK(Actuals!BO84),-Helpers!BL5*Assumptions!$B$20,Actuals!BO84)</f>
        <v/>
      </c>
      <c r="BO174" s="401">
        <f>IF(ISBLANK(Actuals!BP84),-Helpers!BM5*Assumptions!$B$20,Actuals!BP84)</f>
        <v/>
      </c>
      <c r="BP174" s="401">
        <f>IF(ISBLANK(Actuals!BQ84),-Helpers!BN5*Assumptions!$B$20,Actuals!BQ84)</f>
        <v/>
      </c>
      <c r="BQ174" s="401">
        <f>IF(ISBLANK(Actuals!BR84),-Helpers!BO5*Assumptions!$B$20,Actuals!BR84)</f>
        <v/>
      </c>
      <c r="BR174" s="401">
        <f>IF(ISBLANK(Actuals!BS84),-Helpers!BP5*Assumptions!$B$20,Actuals!BS84)</f>
        <v/>
      </c>
      <c r="BS174" s="401">
        <f>IF(ISBLANK(Actuals!BT84),-Helpers!BQ5*Assumptions!$B$20,Actuals!BT84)</f>
        <v/>
      </c>
      <c r="BT174" s="401">
        <f>IF(ISBLANK(Actuals!BU84),-Helpers!BR5*Assumptions!$B$20,Actuals!BU84)</f>
        <v/>
      </c>
      <c r="BU174" s="401">
        <f>IF(ISBLANK(Actuals!BV84),-Helpers!BS5*Assumptions!$B$20,Actuals!BV84)</f>
        <v/>
      </c>
      <c r="BV174" s="401">
        <f>IF(ISBLANK(Actuals!BW84),-Helpers!BT5*Assumptions!$B$20,Actuals!BW84)</f>
        <v/>
      </c>
      <c r="BW174" s="401">
        <f>IF(ISBLANK(Actuals!BX84),-Helpers!BU5*Assumptions!$B$20,Actuals!BX84)</f>
        <v/>
      </c>
      <c r="BX174" s="401">
        <f>IF(ISBLANK(Actuals!BY84),-Helpers!BV5*Assumptions!$B$20,Actuals!BY84)</f>
        <v/>
      </c>
      <c r="BY174" s="401">
        <f>IF(ISBLANK(Actuals!BZ84),-Helpers!BW5*Assumptions!$B$20,Actuals!BZ84)</f>
        <v/>
      </c>
      <c r="BZ174" s="401">
        <f>IF(ISBLANK(Actuals!CA84),-Helpers!BX5*Assumptions!$B$20,Actuals!CA84)</f>
        <v/>
      </c>
      <c r="CA174" s="401">
        <f>IF(ISBLANK(Actuals!CB84),-Helpers!BY5*Assumptions!$B$20,Actuals!CB84)</f>
        <v/>
      </c>
      <c r="CB174" s="401">
        <f>IF(ISBLANK(Actuals!CC84),-Helpers!BZ5*Assumptions!$B$20,Actuals!CC84)</f>
        <v/>
      </c>
      <c r="CC174" s="401">
        <f>IF(ISBLANK(Actuals!CD84),-Helpers!CA5*Assumptions!$B$20,Actuals!CD84)</f>
        <v/>
      </c>
      <c r="CD174" s="401">
        <f>IF(ISBLANK(Actuals!CE84),-Helpers!CB5*Assumptions!$B$20,Actuals!CE84)</f>
        <v/>
      </c>
      <c r="CE174" s="401">
        <f>IF(ISBLANK(Actuals!CF84),-Helpers!CC5*Assumptions!$B$20,Actuals!CF84)</f>
        <v/>
      </c>
      <c r="CF174" s="401">
        <f>IF(ISBLANK(Actuals!CG84),-Helpers!CD5*Assumptions!$B$20,Actuals!CG84)</f>
        <v/>
      </c>
      <c r="CG174" s="401">
        <f>IF(ISBLANK(Actuals!CH84),-Helpers!CE5*Assumptions!$B$20,Actuals!CH84)</f>
        <v/>
      </c>
      <c r="CH174" s="401">
        <f>IF(ISBLANK(Actuals!CI84),-Helpers!CF5*Assumptions!$B$20,Actuals!CI84)</f>
        <v/>
      </c>
      <c r="CI174" s="401">
        <f>IF(ISBLANK(Actuals!CJ84),-Helpers!CG5*Assumptions!$B$20,Actuals!CJ84)</f>
        <v/>
      </c>
      <c r="CJ174" s="401">
        <f>IF(ISBLANK(Actuals!CK84),-Helpers!CH5*Assumptions!$B$20,Actuals!CK84)</f>
        <v/>
      </c>
      <c r="CK174" s="401">
        <f>IF(ISBLANK(Actuals!CL84),-Helpers!CI5*Assumptions!$B$20,Actuals!CL84)</f>
        <v/>
      </c>
      <c r="CL174" s="401">
        <f>IF(ISBLANK(Actuals!CM84),-Helpers!CJ5*Assumptions!$B$20,Actuals!CM84)</f>
        <v/>
      </c>
      <c r="CM174" s="401">
        <f>IF(ISBLANK(Actuals!CN84),-Helpers!CK5*Assumptions!$B$20,Actuals!CN84)</f>
        <v/>
      </c>
      <c r="CN174" s="401">
        <f>IF(ISBLANK(Actuals!CO84),-Helpers!CL5*Assumptions!$B$20,Actuals!CO84)</f>
        <v/>
      </c>
      <c r="CO174" s="401">
        <f>IF(ISBLANK(Actuals!CP84),-Helpers!CM5*Assumptions!$B$20,Actuals!CP84)</f>
        <v/>
      </c>
      <c r="CP174" s="401">
        <f>IF(ISBLANK(Actuals!CQ84),-Helpers!CN5*Assumptions!$B$20,Actuals!CQ84)</f>
        <v/>
      </c>
      <c r="CQ174" s="401">
        <f>IF(ISBLANK(Actuals!CR84),-Helpers!CO5*Assumptions!$B$20,Actuals!CR84)</f>
        <v/>
      </c>
      <c r="CR174" s="401">
        <f>IF(ISBLANK(Actuals!CS84),-Helpers!CP5*Assumptions!$B$20,Actuals!CS84)</f>
        <v/>
      </c>
      <c r="CS174" s="401">
        <f>IF(ISBLANK(Actuals!CT84),-Helpers!CQ5*Assumptions!$B$20,Actuals!CT84)</f>
        <v/>
      </c>
      <c r="CT174" s="401">
        <f>IF(ISBLANK(Actuals!CU84),-Helpers!CR5*Assumptions!$B$20,Actuals!CU84)</f>
        <v/>
      </c>
      <c r="CU174" s="401">
        <f>IF(ISBLANK(Actuals!CV84),-Helpers!CS5*Assumptions!$B$20,Actuals!CV84)</f>
        <v/>
      </c>
      <c r="CV174" s="401">
        <f>IF(ISBLANK(Actuals!CW84),-Helpers!CT5*Assumptions!$B$20,Actuals!CW84)</f>
        <v/>
      </c>
      <c r="CW174" s="401">
        <f>IF(ISBLANK(Actuals!CX84),-Helpers!CU5*Assumptions!$B$20,Actuals!CX84)</f>
        <v/>
      </c>
      <c r="CX174" s="401">
        <f>IF(ISBLANK(Actuals!CY84),-Helpers!CV5*Assumptions!$B$20,Actuals!CY84)</f>
        <v/>
      </c>
      <c r="CY174" s="401">
        <f>IF(ISBLANK(Actuals!CZ84),-Helpers!CW5*Assumptions!$B$20,Actuals!CZ84)</f>
        <v/>
      </c>
      <c r="CZ174" s="401">
        <f>IF(ISBLANK(Actuals!DA84),-Helpers!CX5*Assumptions!$B$20,Actuals!DA84)</f>
        <v/>
      </c>
      <c r="DA174" s="401">
        <f>IF(ISBLANK(Actuals!DB84),-Helpers!CY5*Assumptions!$B$20,Actuals!DB84)</f>
        <v/>
      </c>
      <c r="DB174" s="401">
        <f>IF(ISBLANK(Actuals!DC84),-Helpers!CZ5*Assumptions!$B$20,Actuals!DC84)</f>
        <v/>
      </c>
      <c r="DC174" s="401">
        <f>IF(ISBLANK(Actuals!DD84),-Helpers!DA5*Assumptions!$B$20,Actuals!DD84)</f>
        <v/>
      </c>
      <c r="DD174" s="401">
        <f>IF(ISBLANK(Actuals!DE84),-Helpers!DB5*Assumptions!$B$20,Actuals!DE84)</f>
        <v/>
      </c>
      <c r="DE174" s="401">
        <f>IF(ISBLANK(Actuals!DF84),-Helpers!DC5*Assumptions!$B$20,Actuals!DF84)</f>
        <v/>
      </c>
    </row>
    <row r="175" ht="15" customFormat="1" customHeight="1" s="380">
      <c r="A175" s="415" t="inlineStr">
        <is>
          <t>5000-1002 Employee Benefits</t>
        </is>
      </c>
      <c r="B175" s="401">
        <f>IF(ISBLANK(Actuals!C85),0,Actuals!C85)</f>
        <v/>
      </c>
      <c r="C175" s="401">
        <f>IF(ISBLANK(Actuals!D85),0,Actuals!D85)</f>
        <v/>
      </c>
      <c r="D175" s="401">
        <f>IF(ISBLANK(Actuals!E85),0,Actuals!E85)</f>
        <v/>
      </c>
      <c r="E175" s="401">
        <f>IF(ISBLANK(Actuals!F85),-Helpers!C5*Assumptions!$B$22,Actuals!F85)</f>
        <v/>
      </c>
      <c r="F175" s="401">
        <f>IF(ISBLANK(Actuals!G85),-Helpers!D5*Assumptions!$B$22,Actuals!G85)</f>
        <v/>
      </c>
      <c r="G175" s="401">
        <f>IF(ISBLANK(Actuals!H85),-Helpers!E5*Assumptions!$B$22,Actuals!H85)</f>
        <v/>
      </c>
      <c r="H175" s="401">
        <f>IF(ISBLANK(Actuals!I85),-Helpers!F5*Assumptions!$B$22,Actuals!I85)</f>
        <v/>
      </c>
      <c r="I175" s="401">
        <f>IF(ISBLANK(Actuals!J85),-Helpers!G5*Assumptions!$B$22,Actuals!J85)</f>
        <v/>
      </c>
      <c r="J175" s="401">
        <f>IF(ISBLANK(Actuals!K85),-Helpers!H5*Assumptions!$B$22,Actuals!K85)</f>
        <v/>
      </c>
      <c r="K175" s="401">
        <f>IF(ISBLANK(Actuals!L85),-Helpers!I5*Assumptions!$B$22,Actuals!L85)</f>
        <v/>
      </c>
      <c r="L175" s="401">
        <f>IF(ISBLANK(Actuals!M85),-Helpers!J5*Assumptions!$B$22,Actuals!M85)</f>
        <v/>
      </c>
      <c r="M175" s="401">
        <f>IF(ISBLANK(Actuals!N85),-Helpers!K5*Assumptions!$B$22,Actuals!N85)</f>
        <v/>
      </c>
      <c r="N175" s="401">
        <f>IF(ISBLANK(Actuals!O85),-Helpers!L5*Assumptions!$B$22,Actuals!O85)</f>
        <v/>
      </c>
      <c r="O175" s="401">
        <f>IF(ISBLANK(Actuals!P85),-Helpers!M5*Assumptions!$B$22,Actuals!P85)</f>
        <v/>
      </c>
      <c r="P175" s="401">
        <f>IF(ISBLANK(Actuals!Q85),-Helpers!N5*Assumptions!$B$22,Actuals!Q85)</f>
        <v/>
      </c>
      <c r="Q175" s="401">
        <f>IF(ISBLANK(Actuals!R85),-Helpers!O5*Assumptions!$B$22,Actuals!R85)</f>
        <v/>
      </c>
      <c r="R175" s="401">
        <f>IF(ISBLANK(Actuals!S85),-Helpers!P5*Assumptions!$B$22,Actuals!S85)</f>
        <v/>
      </c>
      <c r="S175" s="401">
        <f>IF(ISBLANK(Actuals!T85),-Helpers!Q5*Assumptions!$B$22,Actuals!T85)</f>
        <v/>
      </c>
      <c r="T175" s="401">
        <f>IF(ISBLANK(Actuals!U85),-Helpers!R5*Assumptions!$B$22,Actuals!U85)</f>
        <v/>
      </c>
      <c r="U175" s="401">
        <f>IF(ISBLANK(Actuals!V85),-Helpers!S5*Assumptions!$B$22,Actuals!V85)</f>
        <v/>
      </c>
      <c r="V175" s="401">
        <f>IF(ISBLANK(Actuals!W85),-Helpers!T5*Assumptions!$B$22,Actuals!W85)</f>
        <v/>
      </c>
      <c r="W175" s="401">
        <f>IF(ISBLANK(Actuals!X85),-Helpers!U5*Assumptions!$B$22,Actuals!X85)</f>
        <v/>
      </c>
      <c r="X175" s="401">
        <f>IF(ISBLANK(Actuals!Y85),-Helpers!V5*Assumptions!$B$22,Actuals!Y85)</f>
        <v/>
      </c>
      <c r="Y175" s="401">
        <f>IF(ISBLANK(Actuals!Z85),-Helpers!W5*Assumptions!$B$22,Actuals!Z85)</f>
        <v/>
      </c>
      <c r="Z175" s="401">
        <f>IF(ISBLANK(Actuals!AA85),-Helpers!X5*Assumptions!$B$22,Actuals!AA85)</f>
        <v/>
      </c>
      <c r="AA175" s="401">
        <f>IF(ISBLANK(Actuals!AB85),-Helpers!Y5*Assumptions!$B$22,Actuals!AB85)</f>
        <v/>
      </c>
      <c r="AB175" s="401">
        <f>IF(ISBLANK(Actuals!AC85),-Helpers!Z5*Assumptions!$B$22,Actuals!AC85)</f>
        <v/>
      </c>
      <c r="AC175" s="401">
        <f>IF(ISBLANK(Actuals!AD85),-Helpers!AA5*Assumptions!$B$22,Actuals!AD85)</f>
        <v/>
      </c>
      <c r="AD175" s="401">
        <f>IF(ISBLANK(Actuals!AE85),-Helpers!AB5*Assumptions!$B$22,Actuals!AE85)</f>
        <v/>
      </c>
      <c r="AE175" s="401">
        <f>IF(ISBLANK(Actuals!AF85),-Helpers!AC5*Assumptions!$B$22,Actuals!AF85)</f>
        <v/>
      </c>
      <c r="AF175" s="401">
        <f>IF(ISBLANK(Actuals!AG85),-Helpers!AD5*Assumptions!$B$22,Actuals!AG85)</f>
        <v/>
      </c>
      <c r="AG175" s="401">
        <f>IF(ISBLANK(Actuals!AH85),-Helpers!AE5*Assumptions!$B$22,Actuals!AH85)</f>
        <v/>
      </c>
      <c r="AH175" s="401">
        <f>IF(ISBLANK(Actuals!AI85),-Helpers!AF5*Assumptions!$B$22,Actuals!AI85)</f>
        <v/>
      </c>
      <c r="AI175" s="401">
        <f>IF(ISBLANK(Actuals!AJ85),-Helpers!AG5*Assumptions!$B$22,Actuals!AJ85)</f>
        <v/>
      </c>
      <c r="AJ175" s="401">
        <f>IF(ISBLANK(Actuals!AK85),-Helpers!AH5*Assumptions!$B$22,Actuals!AK85)</f>
        <v/>
      </c>
      <c r="AK175" s="401">
        <f>IF(ISBLANK(Actuals!AL85),-Helpers!AI5*Assumptions!$B$22,Actuals!AL85)</f>
        <v/>
      </c>
      <c r="AL175" s="401">
        <f>IF(ISBLANK(Actuals!AM85),-Helpers!AJ5*Assumptions!$B$22,Actuals!AM85)</f>
        <v/>
      </c>
      <c r="AM175" s="401">
        <f>IF(ISBLANK(Actuals!AN85),-Helpers!AK5*Assumptions!$B$22,Actuals!AN85)</f>
        <v/>
      </c>
      <c r="AN175" s="401">
        <f>IF(ISBLANK(Actuals!AO85),-Helpers!AL5*Assumptions!$B$22,Actuals!AO85)</f>
        <v/>
      </c>
      <c r="AO175" s="401">
        <f>IF(ISBLANK(Actuals!AP85),-Helpers!AM5*Assumptions!$B$22,Actuals!AP85)</f>
        <v/>
      </c>
      <c r="AP175" s="401">
        <f>IF(ISBLANK(Actuals!AQ85),-Helpers!AN5*Assumptions!$B$22,Actuals!AQ85)</f>
        <v/>
      </c>
      <c r="AQ175" s="401">
        <f>IF(ISBLANK(Actuals!AR85),-Helpers!AO5*Assumptions!$B$22,Actuals!AR85)</f>
        <v/>
      </c>
      <c r="AR175" s="401">
        <f>IF(ISBLANK(Actuals!AS85),-Helpers!AP5*Assumptions!$B$22,Actuals!AS85)</f>
        <v/>
      </c>
      <c r="AS175" s="401">
        <f>IF(ISBLANK(Actuals!AT85),-Helpers!AQ5*Assumptions!$B$22,Actuals!AT85)</f>
        <v/>
      </c>
      <c r="AT175" s="401">
        <f>IF(ISBLANK(Actuals!AU85),-Helpers!AR5*Assumptions!$B$22,Actuals!AU85)</f>
        <v/>
      </c>
      <c r="AU175" s="401">
        <f>IF(ISBLANK(Actuals!AV85),-Helpers!AS5*Assumptions!$B$22,Actuals!AV85)</f>
        <v/>
      </c>
      <c r="AV175" s="401">
        <f>IF(ISBLANK(Actuals!AW85),-Helpers!AT5*Assumptions!$B$22,Actuals!AW85)</f>
        <v/>
      </c>
      <c r="AW175" s="401">
        <f>IF(ISBLANK(Actuals!AX85),-Helpers!AU5*Assumptions!$B$22,Actuals!AX85)</f>
        <v/>
      </c>
      <c r="AX175" s="401">
        <f>IF(ISBLANK(Actuals!AY85),-Helpers!AV5*Assumptions!$B$22,Actuals!AY85)</f>
        <v/>
      </c>
      <c r="AY175" s="401">
        <f>IF(ISBLANK(Actuals!AZ85),-Helpers!AW5*Assumptions!$B$22,Actuals!AZ85)</f>
        <v/>
      </c>
      <c r="AZ175" s="401">
        <f>IF(ISBLANK(Actuals!BA85),-Helpers!AX5*Assumptions!$B$22,Actuals!BA85)</f>
        <v/>
      </c>
      <c r="BA175" s="401">
        <f>IF(ISBLANK(Actuals!BB85),-Helpers!AY5*Assumptions!$B$22,Actuals!BB85)</f>
        <v/>
      </c>
      <c r="BB175" s="401">
        <f>IF(ISBLANK(Actuals!BC85),-Helpers!AZ5*Assumptions!$B$22,Actuals!BC85)</f>
        <v/>
      </c>
      <c r="BC175" s="401">
        <f>IF(ISBLANK(Actuals!BD85),-Helpers!BA5*Assumptions!$B$22,Actuals!BD85)</f>
        <v/>
      </c>
      <c r="BD175" s="401">
        <f>IF(ISBLANK(Actuals!BE85),-Helpers!BB5*Assumptions!$B$22,Actuals!BE85)</f>
        <v/>
      </c>
      <c r="BE175" s="401">
        <f>IF(ISBLANK(Actuals!BF85),-Helpers!BC5*Assumptions!$B$22,Actuals!BF85)</f>
        <v/>
      </c>
      <c r="BF175" s="401">
        <f>IF(ISBLANK(Actuals!BG85),-Helpers!BD5*Assumptions!$B$22,Actuals!BG85)</f>
        <v/>
      </c>
      <c r="BG175" s="401">
        <f>IF(ISBLANK(Actuals!BH85),-Helpers!BE5*Assumptions!$B$22,Actuals!BH85)</f>
        <v/>
      </c>
      <c r="BH175" s="401">
        <f>IF(ISBLANK(Actuals!BI85),-Helpers!BF5*Assumptions!$B$22,Actuals!BI85)</f>
        <v/>
      </c>
      <c r="BI175" s="401">
        <f>IF(ISBLANK(Actuals!BJ85),-Helpers!BG5*Assumptions!$B$22,Actuals!BJ85)</f>
        <v/>
      </c>
      <c r="BJ175" s="401">
        <f>IF(ISBLANK(Actuals!BK85),-Helpers!BH5*Assumptions!$B$22,Actuals!BK85)</f>
        <v/>
      </c>
      <c r="BK175" s="401">
        <f>IF(ISBLANK(Actuals!BL85),-Helpers!BI5*Assumptions!$B$22,Actuals!BL85)</f>
        <v/>
      </c>
      <c r="BL175" s="401">
        <f>IF(ISBLANK(Actuals!BM85),-Helpers!BJ5*Assumptions!$B$22,Actuals!BM85)</f>
        <v/>
      </c>
      <c r="BM175" s="401">
        <f>IF(ISBLANK(Actuals!BN85),-Helpers!BK5*Assumptions!$B$22,Actuals!BN85)</f>
        <v/>
      </c>
      <c r="BN175" s="401">
        <f>IF(ISBLANK(Actuals!BO85),-Helpers!BL5*Assumptions!$B$22,Actuals!BO85)</f>
        <v/>
      </c>
      <c r="BO175" s="401">
        <f>IF(ISBLANK(Actuals!BP85),-Helpers!BM5*Assumptions!$B$22,Actuals!BP85)</f>
        <v/>
      </c>
      <c r="BP175" s="401">
        <f>IF(ISBLANK(Actuals!BQ85),-Helpers!BN5*Assumptions!$B$22,Actuals!BQ85)</f>
        <v/>
      </c>
      <c r="BQ175" s="401">
        <f>IF(ISBLANK(Actuals!BR85),-Helpers!BO5*Assumptions!$B$22,Actuals!BR85)</f>
        <v/>
      </c>
      <c r="BR175" s="401">
        <f>IF(ISBLANK(Actuals!BS85),-Helpers!BP5*Assumptions!$B$22,Actuals!BS85)</f>
        <v/>
      </c>
      <c r="BS175" s="401">
        <f>IF(ISBLANK(Actuals!BT85),-Helpers!BQ5*Assumptions!$B$22,Actuals!BT85)</f>
        <v/>
      </c>
      <c r="BT175" s="401">
        <f>IF(ISBLANK(Actuals!BU85),-Helpers!BR5*Assumptions!$B$22,Actuals!BU85)</f>
        <v/>
      </c>
      <c r="BU175" s="401">
        <f>IF(ISBLANK(Actuals!BV85),-Helpers!BS5*Assumptions!$B$22,Actuals!BV85)</f>
        <v/>
      </c>
      <c r="BV175" s="401">
        <f>IF(ISBLANK(Actuals!BW85),-Helpers!BT5*Assumptions!$B$22,Actuals!BW85)</f>
        <v/>
      </c>
      <c r="BW175" s="401">
        <f>IF(ISBLANK(Actuals!BX85),-Helpers!BU5*Assumptions!$B$22,Actuals!BX85)</f>
        <v/>
      </c>
      <c r="BX175" s="401">
        <f>IF(ISBLANK(Actuals!BY85),-Helpers!BV5*Assumptions!$B$22,Actuals!BY85)</f>
        <v/>
      </c>
      <c r="BY175" s="401">
        <f>IF(ISBLANK(Actuals!BZ85),-Helpers!BW5*Assumptions!$B$22,Actuals!BZ85)</f>
        <v/>
      </c>
      <c r="BZ175" s="401">
        <f>IF(ISBLANK(Actuals!CA85),-Helpers!BX5*Assumptions!$B$22,Actuals!CA85)</f>
        <v/>
      </c>
      <c r="CA175" s="401">
        <f>IF(ISBLANK(Actuals!CB85),-Helpers!BY5*Assumptions!$B$22,Actuals!CB85)</f>
        <v/>
      </c>
      <c r="CB175" s="401">
        <f>IF(ISBLANK(Actuals!CC85),-Helpers!BZ5*Assumptions!$B$22,Actuals!CC85)</f>
        <v/>
      </c>
      <c r="CC175" s="401">
        <f>IF(ISBLANK(Actuals!CD85),-Helpers!CA5*Assumptions!$B$22,Actuals!CD85)</f>
        <v/>
      </c>
      <c r="CD175" s="401">
        <f>IF(ISBLANK(Actuals!CE85),-Helpers!CB5*Assumptions!$B$22,Actuals!CE85)</f>
        <v/>
      </c>
      <c r="CE175" s="401">
        <f>IF(ISBLANK(Actuals!CF85),-Helpers!CC5*Assumptions!$B$22,Actuals!CF85)</f>
        <v/>
      </c>
      <c r="CF175" s="401">
        <f>IF(ISBLANK(Actuals!CG85),-Helpers!CD5*Assumptions!$B$22,Actuals!CG85)</f>
        <v/>
      </c>
      <c r="CG175" s="401">
        <f>IF(ISBLANK(Actuals!CH85),-Helpers!CE5*Assumptions!$B$22,Actuals!CH85)</f>
        <v/>
      </c>
      <c r="CH175" s="401">
        <f>IF(ISBLANK(Actuals!CI85),-Helpers!CF5*Assumptions!$B$22,Actuals!CI85)</f>
        <v/>
      </c>
      <c r="CI175" s="401">
        <f>IF(ISBLANK(Actuals!CJ85),-Helpers!CG5*Assumptions!$B$22,Actuals!CJ85)</f>
        <v/>
      </c>
      <c r="CJ175" s="401">
        <f>IF(ISBLANK(Actuals!CK85),-Helpers!CH5*Assumptions!$B$22,Actuals!CK85)</f>
        <v/>
      </c>
      <c r="CK175" s="401">
        <f>IF(ISBLANK(Actuals!CL85),-Helpers!CI5*Assumptions!$B$22,Actuals!CL85)</f>
        <v/>
      </c>
      <c r="CL175" s="401">
        <f>IF(ISBLANK(Actuals!CM85),-Helpers!CJ5*Assumptions!$B$22,Actuals!CM85)</f>
        <v/>
      </c>
      <c r="CM175" s="401">
        <f>IF(ISBLANK(Actuals!CN85),-Helpers!CK5*Assumptions!$B$22,Actuals!CN85)</f>
        <v/>
      </c>
      <c r="CN175" s="401">
        <f>IF(ISBLANK(Actuals!CO85),-Helpers!CL5*Assumptions!$B$22,Actuals!CO85)</f>
        <v/>
      </c>
      <c r="CO175" s="401">
        <f>IF(ISBLANK(Actuals!CP85),-Helpers!CM5*Assumptions!$B$22,Actuals!CP85)</f>
        <v/>
      </c>
      <c r="CP175" s="401">
        <f>IF(ISBLANK(Actuals!CQ85),-Helpers!CN5*Assumptions!$B$22,Actuals!CQ85)</f>
        <v/>
      </c>
      <c r="CQ175" s="401">
        <f>IF(ISBLANK(Actuals!CR85),-Helpers!CO5*Assumptions!$B$22,Actuals!CR85)</f>
        <v/>
      </c>
      <c r="CR175" s="401">
        <f>IF(ISBLANK(Actuals!CS85),-Helpers!CP5*Assumptions!$B$22,Actuals!CS85)</f>
        <v/>
      </c>
      <c r="CS175" s="401">
        <f>IF(ISBLANK(Actuals!CT85),-Helpers!CQ5*Assumptions!$B$22,Actuals!CT85)</f>
        <v/>
      </c>
      <c r="CT175" s="401">
        <f>IF(ISBLANK(Actuals!CU85),-Helpers!CR5*Assumptions!$B$22,Actuals!CU85)</f>
        <v/>
      </c>
      <c r="CU175" s="401">
        <f>IF(ISBLANK(Actuals!CV85),-Helpers!CS5*Assumptions!$B$22,Actuals!CV85)</f>
        <v/>
      </c>
      <c r="CV175" s="401">
        <f>IF(ISBLANK(Actuals!CW85),-Helpers!CT5*Assumptions!$B$22,Actuals!CW85)</f>
        <v/>
      </c>
      <c r="CW175" s="401">
        <f>IF(ISBLANK(Actuals!CX85),-Helpers!CU5*Assumptions!$B$22,Actuals!CX85)</f>
        <v/>
      </c>
      <c r="CX175" s="401">
        <f>IF(ISBLANK(Actuals!CY85),-Helpers!CV5*Assumptions!$B$22,Actuals!CY85)</f>
        <v/>
      </c>
      <c r="CY175" s="401">
        <f>IF(ISBLANK(Actuals!CZ85),-Helpers!CW5*Assumptions!$B$22,Actuals!CZ85)</f>
        <v/>
      </c>
      <c r="CZ175" s="401">
        <f>IF(ISBLANK(Actuals!DA85),-Helpers!CX5*Assumptions!$B$22,Actuals!DA85)</f>
        <v/>
      </c>
      <c r="DA175" s="401">
        <f>IF(ISBLANK(Actuals!DB85),-Helpers!CY5*Assumptions!$B$22,Actuals!DB85)</f>
        <v/>
      </c>
      <c r="DB175" s="401">
        <f>IF(ISBLANK(Actuals!DC85),-Helpers!CZ5*Assumptions!$B$22,Actuals!DC85)</f>
        <v/>
      </c>
      <c r="DC175" s="401">
        <f>IF(ISBLANK(Actuals!DD85),-Helpers!DA5*Assumptions!$B$22,Actuals!DD85)</f>
        <v/>
      </c>
      <c r="DD175" s="401">
        <f>IF(ISBLANK(Actuals!DE85),-Helpers!DB5*Assumptions!$B$22,Actuals!DE85)</f>
        <v/>
      </c>
      <c r="DE175" s="401">
        <f>IF(ISBLANK(Actuals!DF85),-Helpers!DC5*Assumptions!$B$22,Actuals!DF85)</f>
        <v/>
      </c>
    </row>
    <row r="176" ht="15" customFormat="1" customHeight="1" s="380">
      <c r="A176" s="415" t="inlineStr">
        <is>
          <t>5000-1003 Workers Comp</t>
        </is>
      </c>
      <c r="B176" s="401">
        <f>IF(ISBLANK(Actuals!C86),0,Actuals!C86)</f>
        <v/>
      </c>
      <c r="C176" s="401">
        <f>IF(ISBLANK(Actuals!D86),0,Actuals!D86)</f>
        <v/>
      </c>
      <c r="D176" s="401">
        <f>IF(ISBLANK(Actuals!E86),0,Actuals!E86)</f>
        <v/>
      </c>
      <c r="E176" s="401">
        <f>IF(ISBLANK(Actuals!F86),-Helpers!C5*Assumptions!$B$23,Actuals!F86)</f>
        <v/>
      </c>
      <c r="F176" s="401">
        <f>IF(ISBLANK(Actuals!G86),-Helpers!D5*Assumptions!$B$23,Actuals!G86)</f>
        <v/>
      </c>
      <c r="G176" s="401">
        <f>IF(ISBLANK(Actuals!H86),-Helpers!E5*Assumptions!$B$23,Actuals!H86)</f>
        <v/>
      </c>
      <c r="H176" s="401">
        <f>IF(ISBLANK(Actuals!I86),-Helpers!F5*Assumptions!$B$23,Actuals!I86)</f>
        <v/>
      </c>
      <c r="I176" s="401">
        <f>IF(ISBLANK(Actuals!J86),-Helpers!G5*Assumptions!$B$23,Actuals!J86)</f>
        <v/>
      </c>
      <c r="J176" s="401">
        <f>IF(ISBLANK(Actuals!K86),-Helpers!H5*Assumptions!$B$23,Actuals!K86)</f>
        <v/>
      </c>
      <c r="K176" s="401">
        <f>IF(ISBLANK(Actuals!L86),-Helpers!I5*Assumptions!$B$23,Actuals!L86)</f>
        <v/>
      </c>
      <c r="L176" s="401">
        <f>IF(ISBLANK(Actuals!M86),-Helpers!J5*Assumptions!$B$23,Actuals!M86)</f>
        <v/>
      </c>
      <c r="M176" s="401">
        <f>IF(ISBLANK(Actuals!N86),-Helpers!K5*Assumptions!$B$23,Actuals!N86)</f>
        <v/>
      </c>
      <c r="N176" s="401">
        <f>IF(ISBLANK(Actuals!O86),-Helpers!L5*Assumptions!$B$23,Actuals!O86)</f>
        <v/>
      </c>
      <c r="O176" s="401">
        <f>IF(ISBLANK(Actuals!P86),-Helpers!M5*Assumptions!$B$23,Actuals!P86)</f>
        <v/>
      </c>
      <c r="P176" s="401">
        <f>IF(ISBLANK(Actuals!Q86),-Helpers!N5*Assumptions!$B$23,Actuals!Q86)</f>
        <v/>
      </c>
      <c r="Q176" s="401">
        <f>IF(ISBLANK(Actuals!R86),-Helpers!O5*Assumptions!$B$23,Actuals!R86)</f>
        <v/>
      </c>
      <c r="R176" s="401">
        <f>IF(ISBLANK(Actuals!S86),-Helpers!P5*Assumptions!$B$23,Actuals!S86)</f>
        <v/>
      </c>
      <c r="S176" s="401">
        <f>IF(ISBLANK(Actuals!T86),-Helpers!Q5*Assumptions!$B$23,Actuals!T86)</f>
        <v/>
      </c>
      <c r="T176" s="401">
        <f>IF(ISBLANK(Actuals!U86),-Helpers!R5*Assumptions!$B$23,Actuals!U86)</f>
        <v/>
      </c>
      <c r="U176" s="401">
        <f>IF(ISBLANK(Actuals!V86),-Helpers!S5*Assumptions!$B$23,Actuals!V86)</f>
        <v/>
      </c>
      <c r="V176" s="401">
        <f>IF(ISBLANK(Actuals!W86),-Helpers!T5*Assumptions!$B$23,Actuals!W86)</f>
        <v/>
      </c>
      <c r="W176" s="401">
        <f>IF(ISBLANK(Actuals!X86),-Helpers!U5*Assumptions!$B$23,Actuals!X86)</f>
        <v/>
      </c>
      <c r="X176" s="401">
        <f>IF(ISBLANK(Actuals!Y86),-Helpers!V5*Assumptions!$B$23,Actuals!Y86)</f>
        <v/>
      </c>
      <c r="Y176" s="401">
        <f>IF(ISBLANK(Actuals!Z86),-Helpers!W5*Assumptions!$B$23,Actuals!Z86)</f>
        <v/>
      </c>
      <c r="Z176" s="401">
        <f>IF(ISBLANK(Actuals!AA86),-Helpers!X5*Assumptions!$B$23,Actuals!AA86)</f>
        <v/>
      </c>
      <c r="AA176" s="401">
        <f>IF(ISBLANK(Actuals!AB86),-Helpers!Y5*Assumptions!$B$23,Actuals!AB86)</f>
        <v/>
      </c>
      <c r="AB176" s="401">
        <f>IF(ISBLANK(Actuals!AC86),-Helpers!Z5*Assumptions!$B$23,Actuals!AC86)</f>
        <v/>
      </c>
      <c r="AC176" s="401">
        <f>IF(ISBLANK(Actuals!AD86),-Helpers!AA5*Assumptions!$B$23,Actuals!AD86)</f>
        <v/>
      </c>
      <c r="AD176" s="401">
        <f>IF(ISBLANK(Actuals!AE86),-Helpers!AB5*Assumptions!$B$23,Actuals!AE86)</f>
        <v/>
      </c>
      <c r="AE176" s="401">
        <f>IF(ISBLANK(Actuals!AF86),-Helpers!AC5*Assumptions!$B$23,Actuals!AF86)</f>
        <v/>
      </c>
      <c r="AF176" s="401">
        <f>IF(ISBLANK(Actuals!AG86),-Helpers!AD5*Assumptions!$B$23,Actuals!AG86)</f>
        <v/>
      </c>
      <c r="AG176" s="401">
        <f>IF(ISBLANK(Actuals!AH86),-Helpers!AE5*Assumptions!$B$23,Actuals!AH86)</f>
        <v/>
      </c>
      <c r="AH176" s="401">
        <f>IF(ISBLANK(Actuals!AI86),-Helpers!AF5*Assumptions!$B$23,Actuals!AI86)</f>
        <v/>
      </c>
      <c r="AI176" s="401">
        <f>IF(ISBLANK(Actuals!AJ86),-Helpers!AG5*Assumptions!$B$23,Actuals!AJ86)</f>
        <v/>
      </c>
      <c r="AJ176" s="401">
        <f>IF(ISBLANK(Actuals!AK86),-Helpers!AH5*Assumptions!$B$23,Actuals!AK86)</f>
        <v/>
      </c>
      <c r="AK176" s="401">
        <f>IF(ISBLANK(Actuals!AL86),-Helpers!AI5*Assumptions!$B$23,Actuals!AL86)</f>
        <v/>
      </c>
      <c r="AL176" s="401">
        <f>IF(ISBLANK(Actuals!AM86),-Helpers!AJ5*Assumptions!$B$23,Actuals!AM86)</f>
        <v/>
      </c>
      <c r="AM176" s="401">
        <f>IF(ISBLANK(Actuals!AN86),-Helpers!AK5*Assumptions!$B$23,Actuals!AN86)</f>
        <v/>
      </c>
      <c r="AN176" s="401">
        <f>IF(ISBLANK(Actuals!AO86),-Helpers!AL5*Assumptions!$B$23,Actuals!AO86)</f>
        <v/>
      </c>
      <c r="AO176" s="401">
        <f>IF(ISBLANK(Actuals!AP86),-Helpers!AM5*Assumptions!$B$23,Actuals!AP86)</f>
        <v/>
      </c>
      <c r="AP176" s="401">
        <f>IF(ISBLANK(Actuals!AQ86),-Helpers!AN5*Assumptions!$B$23,Actuals!AQ86)</f>
        <v/>
      </c>
      <c r="AQ176" s="401">
        <f>IF(ISBLANK(Actuals!AR86),-Helpers!AO5*Assumptions!$B$23,Actuals!AR86)</f>
        <v/>
      </c>
      <c r="AR176" s="401">
        <f>IF(ISBLANK(Actuals!AS86),-Helpers!AP5*Assumptions!$B$23,Actuals!AS86)</f>
        <v/>
      </c>
      <c r="AS176" s="401">
        <f>IF(ISBLANK(Actuals!AT86),-Helpers!AQ5*Assumptions!$B$23,Actuals!AT86)</f>
        <v/>
      </c>
      <c r="AT176" s="401">
        <f>IF(ISBLANK(Actuals!AU86),-Helpers!AR5*Assumptions!$B$23,Actuals!AU86)</f>
        <v/>
      </c>
      <c r="AU176" s="401">
        <f>IF(ISBLANK(Actuals!AV86),-Helpers!AS5*Assumptions!$B$23,Actuals!AV86)</f>
        <v/>
      </c>
      <c r="AV176" s="401">
        <f>IF(ISBLANK(Actuals!AW86),-Helpers!AT5*Assumptions!$B$23,Actuals!AW86)</f>
        <v/>
      </c>
      <c r="AW176" s="401">
        <f>IF(ISBLANK(Actuals!AX86),-Helpers!AU5*Assumptions!$B$23,Actuals!AX86)</f>
        <v/>
      </c>
      <c r="AX176" s="401">
        <f>IF(ISBLANK(Actuals!AY86),-Helpers!AV5*Assumptions!$B$23,Actuals!AY86)</f>
        <v/>
      </c>
      <c r="AY176" s="401">
        <f>IF(ISBLANK(Actuals!AZ86),-Helpers!AW5*Assumptions!$B$23,Actuals!AZ86)</f>
        <v/>
      </c>
      <c r="AZ176" s="401">
        <f>IF(ISBLANK(Actuals!BA86),-Helpers!AX5*Assumptions!$B$23,Actuals!BA86)</f>
        <v/>
      </c>
      <c r="BA176" s="401">
        <f>IF(ISBLANK(Actuals!BB86),-Helpers!AY5*Assumptions!$B$23,Actuals!BB86)</f>
        <v/>
      </c>
      <c r="BB176" s="401">
        <f>IF(ISBLANK(Actuals!BC86),-Helpers!AZ5*Assumptions!$B$23,Actuals!BC86)</f>
        <v/>
      </c>
      <c r="BC176" s="401">
        <f>IF(ISBLANK(Actuals!BD86),-Helpers!BA5*Assumptions!$B$23,Actuals!BD86)</f>
        <v/>
      </c>
      <c r="BD176" s="401">
        <f>IF(ISBLANK(Actuals!BE86),-Helpers!BB5*Assumptions!$B$23,Actuals!BE86)</f>
        <v/>
      </c>
      <c r="BE176" s="401">
        <f>IF(ISBLANK(Actuals!BF86),-Helpers!BC5*Assumptions!$B$23,Actuals!BF86)</f>
        <v/>
      </c>
      <c r="BF176" s="401">
        <f>IF(ISBLANK(Actuals!BG86),-Helpers!BD5*Assumptions!$B$23,Actuals!BG86)</f>
        <v/>
      </c>
      <c r="BG176" s="401">
        <f>IF(ISBLANK(Actuals!BH86),-Helpers!BE5*Assumptions!$B$23,Actuals!BH86)</f>
        <v/>
      </c>
      <c r="BH176" s="401">
        <f>IF(ISBLANK(Actuals!BI86),-Helpers!BF5*Assumptions!$B$23,Actuals!BI86)</f>
        <v/>
      </c>
      <c r="BI176" s="401">
        <f>IF(ISBLANK(Actuals!BJ86),-Helpers!BG5*Assumptions!$B$23,Actuals!BJ86)</f>
        <v/>
      </c>
      <c r="BJ176" s="401">
        <f>IF(ISBLANK(Actuals!BK86),-Helpers!BH5*Assumptions!$B$23,Actuals!BK86)</f>
        <v/>
      </c>
      <c r="BK176" s="401">
        <f>IF(ISBLANK(Actuals!BL86),-Helpers!BI5*Assumptions!$B$23,Actuals!BL86)</f>
        <v/>
      </c>
      <c r="BL176" s="401">
        <f>IF(ISBLANK(Actuals!BM86),-Helpers!BJ5*Assumptions!$B$23,Actuals!BM86)</f>
        <v/>
      </c>
      <c r="BM176" s="401">
        <f>IF(ISBLANK(Actuals!BN86),-Helpers!BK5*Assumptions!$B$23,Actuals!BN86)</f>
        <v/>
      </c>
      <c r="BN176" s="401">
        <f>IF(ISBLANK(Actuals!BO86),-Helpers!BL5*Assumptions!$B$23,Actuals!BO86)</f>
        <v/>
      </c>
      <c r="BO176" s="401">
        <f>IF(ISBLANK(Actuals!BP86),-Helpers!BM5*Assumptions!$B$23,Actuals!BP86)</f>
        <v/>
      </c>
      <c r="BP176" s="401">
        <f>IF(ISBLANK(Actuals!BQ86),-Helpers!BN5*Assumptions!$B$23,Actuals!BQ86)</f>
        <v/>
      </c>
      <c r="BQ176" s="401">
        <f>IF(ISBLANK(Actuals!BR86),-Helpers!BO5*Assumptions!$B$23,Actuals!BR86)</f>
        <v/>
      </c>
      <c r="BR176" s="401">
        <f>IF(ISBLANK(Actuals!BS86),-Helpers!BP5*Assumptions!$B$23,Actuals!BS86)</f>
        <v/>
      </c>
      <c r="BS176" s="401">
        <f>IF(ISBLANK(Actuals!BT86),-Helpers!BQ5*Assumptions!$B$23,Actuals!BT86)</f>
        <v/>
      </c>
      <c r="BT176" s="401">
        <f>IF(ISBLANK(Actuals!BU86),-Helpers!BR5*Assumptions!$B$23,Actuals!BU86)</f>
        <v/>
      </c>
      <c r="BU176" s="401">
        <f>IF(ISBLANK(Actuals!BV86),-Helpers!BS5*Assumptions!$B$23,Actuals!BV86)</f>
        <v/>
      </c>
      <c r="BV176" s="401">
        <f>IF(ISBLANK(Actuals!BW86),-Helpers!BT5*Assumptions!$B$23,Actuals!BW86)</f>
        <v/>
      </c>
      <c r="BW176" s="401">
        <f>IF(ISBLANK(Actuals!BX86),-Helpers!BU5*Assumptions!$B$23,Actuals!BX86)</f>
        <v/>
      </c>
      <c r="BX176" s="401">
        <f>IF(ISBLANK(Actuals!BY86),-Helpers!BV5*Assumptions!$B$23,Actuals!BY86)</f>
        <v/>
      </c>
      <c r="BY176" s="401">
        <f>IF(ISBLANK(Actuals!BZ86),-Helpers!BW5*Assumptions!$B$23,Actuals!BZ86)</f>
        <v/>
      </c>
      <c r="BZ176" s="401">
        <f>IF(ISBLANK(Actuals!CA86),-Helpers!BX5*Assumptions!$B$23,Actuals!CA86)</f>
        <v/>
      </c>
      <c r="CA176" s="401">
        <f>IF(ISBLANK(Actuals!CB86),-Helpers!BY5*Assumptions!$B$23,Actuals!CB86)</f>
        <v/>
      </c>
      <c r="CB176" s="401">
        <f>IF(ISBLANK(Actuals!CC86),-Helpers!BZ5*Assumptions!$B$23,Actuals!CC86)</f>
        <v/>
      </c>
      <c r="CC176" s="401">
        <f>IF(ISBLANK(Actuals!CD86),-Helpers!CA5*Assumptions!$B$23,Actuals!CD86)</f>
        <v/>
      </c>
      <c r="CD176" s="401">
        <f>IF(ISBLANK(Actuals!CE86),-Helpers!CB5*Assumptions!$B$23,Actuals!CE86)</f>
        <v/>
      </c>
      <c r="CE176" s="401">
        <f>IF(ISBLANK(Actuals!CF86),-Helpers!CC5*Assumptions!$B$23,Actuals!CF86)</f>
        <v/>
      </c>
      <c r="CF176" s="401">
        <f>IF(ISBLANK(Actuals!CG86),-Helpers!CD5*Assumptions!$B$23,Actuals!CG86)</f>
        <v/>
      </c>
      <c r="CG176" s="401">
        <f>IF(ISBLANK(Actuals!CH86),-Helpers!CE5*Assumptions!$B$23,Actuals!CH86)</f>
        <v/>
      </c>
      <c r="CH176" s="401">
        <f>IF(ISBLANK(Actuals!CI86),-Helpers!CF5*Assumptions!$B$23,Actuals!CI86)</f>
        <v/>
      </c>
      <c r="CI176" s="401">
        <f>IF(ISBLANK(Actuals!CJ86),-Helpers!CG5*Assumptions!$B$23,Actuals!CJ86)</f>
        <v/>
      </c>
      <c r="CJ176" s="401">
        <f>IF(ISBLANK(Actuals!CK86),-Helpers!CH5*Assumptions!$B$23,Actuals!CK86)</f>
        <v/>
      </c>
      <c r="CK176" s="401">
        <f>IF(ISBLANK(Actuals!CL86),-Helpers!CI5*Assumptions!$B$23,Actuals!CL86)</f>
        <v/>
      </c>
      <c r="CL176" s="401">
        <f>IF(ISBLANK(Actuals!CM86),-Helpers!CJ5*Assumptions!$B$23,Actuals!CM86)</f>
        <v/>
      </c>
      <c r="CM176" s="401">
        <f>IF(ISBLANK(Actuals!CN86),-Helpers!CK5*Assumptions!$B$23,Actuals!CN86)</f>
        <v/>
      </c>
      <c r="CN176" s="401">
        <f>IF(ISBLANK(Actuals!CO86),-Helpers!CL5*Assumptions!$B$23,Actuals!CO86)</f>
        <v/>
      </c>
      <c r="CO176" s="401">
        <f>IF(ISBLANK(Actuals!CP86),-Helpers!CM5*Assumptions!$B$23,Actuals!CP86)</f>
        <v/>
      </c>
      <c r="CP176" s="401">
        <f>IF(ISBLANK(Actuals!CQ86),-Helpers!CN5*Assumptions!$B$23,Actuals!CQ86)</f>
        <v/>
      </c>
      <c r="CQ176" s="401">
        <f>IF(ISBLANK(Actuals!CR86),-Helpers!CO5*Assumptions!$B$23,Actuals!CR86)</f>
        <v/>
      </c>
      <c r="CR176" s="401">
        <f>IF(ISBLANK(Actuals!CS86),-Helpers!CP5*Assumptions!$B$23,Actuals!CS86)</f>
        <v/>
      </c>
      <c r="CS176" s="401">
        <f>IF(ISBLANK(Actuals!CT86),-Helpers!CQ5*Assumptions!$B$23,Actuals!CT86)</f>
        <v/>
      </c>
      <c r="CT176" s="401">
        <f>IF(ISBLANK(Actuals!CU86),-Helpers!CR5*Assumptions!$B$23,Actuals!CU86)</f>
        <v/>
      </c>
      <c r="CU176" s="401">
        <f>IF(ISBLANK(Actuals!CV86),-Helpers!CS5*Assumptions!$B$23,Actuals!CV86)</f>
        <v/>
      </c>
      <c r="CV176" s="401">
        <f>IF(ISBLANK(Actuals!CW86),-Helpers!CT5*Assumptions!$B$23,Actuals!CW86)</f>
        <v/>
      </c>
      <c r="CW176" s="401">
        <f>IF(ISBLANK(Actuals!CX86),-Helpers!CU5*Assumptions!$B$23,Actuals!CX86)</f>
        <v/>
      </c>
      <c r="CX176" s="401">
        <f>IF(ISBLANK(Actuals!CY86),-Helpers!CV5*Assumptions!$B$23,Actuals!CY86)</f>
        <v/>
      </c>
      <c r="CY176" s="401">
        <f>IF(ISBLANK(Actuals!CZ86),-Helpers!CW5*Assumptions!$B$23,Actuals!CZ86)</f>
        <v/>
      </c>
      <c r="CZ176" s="401">
        <f>IF(ISBLANK(Actuals!DA86),-Helpers!CX5*Assumptions!$B$23,Actuals!DA86)</f>
        <v/>
      </c>
      <c r="DA176" s="401">
        <f>IF(ISBLANK(Actuals!DB86),-Helpers!CY5*Assumptions!$B$23,Actuals!DB86)</f>
        <v/>
      </c>
      <c r="DB176" s="401">
        <f>IF(ISBLANK(Actuals!DC86),-Helpers!CZ5*Assumptions!$B$23,Actuals!DC86)</f>
        <v/>
      </c>
      <c r="DC176" s="401">
        <f>IF(ISBLANK(Actuals!DD86),-Helpers!DA5*Assumptions!$B$23,Actuals!DD86)</f>
        <v/>
      </c>
      <c r="DD176" s="401">
        <f>IF(ISBLANK(Actuals!DE86),-Helpers!DB5*Assumptions!$B$23,Actuals!DE86)</f>
        <v/>
      </c>
      <c r="DE176" s="401">
        <f>IF(ISBLANK(Actuals!DF86),-Helpers!DC5*Assumptions!$B$23,Actuals!DF86)</f>
        <v/>
      </c>
    </row>
    <row r="177" ht="15" customFormat="1" customHeight="1" s="380">
      <c r="A177" s="415" t="inlineStr">
        <is>
          <t>5000-1005 Payroll Servicing Fees</t>
        </is>
      </c>
      <c r="B177" s="401">
        <f>IF(ISBLANK(Actuals!C87),0,Actuals!C87)</f>
        <v/>
      </c>
      <c r="C177" s="401">
        <f>IF(ISBLANK(Actuals!D87),0,Actuals!D87)</f>
        <v/>
      </c>
      <c r="D177" s="401">
        <f>IF(ISBLANK(Actuals!E87),0,Actuals!E87)</f>
        <v/>
      </c>
      <c r="E177" s="401">
        <f>IF(ISBLANK(Actuals!F87),-Helpers!C5*Assumptions!$B$21,Actuals!F87)</f>
        <v/>
      </c>
      <c r="F177" s="401">
        <f>IF(ISBLANK(Actuals!G87),-Helpers!D5*Assumptions!$B$21,Actuals!G87)</f>
        <v/>
      </c>
      <c r="G177" s="401">
        <f>IF(ISBLANK(Actuals!H87),-Helpers!E5*Assumptions!$B$21,Actuals!H87)</f>
        <v/>
      </c>
      <c r="H177" s="401">
        <f>IF(ISBLANK(Actuals!I87),-Helpers!F5*Assumptions!$B$21,Actuals!I87)</f>
        <v/>
      </c>
      <c r="I177" s="401">
        <f>IF(ISBLANK(Actuals!J87),-Helpers!G5*Assumptions!$B$21,Actuals!J87)</f>
        <v/>
      </c>
      <c r="J177" s="401">
        <f>IF(ISBLANK(Actuals!K87),-Helpers!H5*Assumptions!$B$21,Actuals!K87)</f>
        <v/>
      </c>
      <c r="K177" s="401">
        <f>IF(ISBLANK(Actuals!L87),-Helpers!I5*Assumptions!$B$21,Actuals!L87)</f>
        <v/>
      </c>
      <c r="L177" s="401">
        <f>IF(ISBLANK(Actuals!M87),-Helpers!J5*Assumptions!$B$21,Actuals!M87)</f>
        <v/>
      </c>
      <c r="M177" s="401">
        <f>IF(ISBLANK(Actuals!N87),-Helpers!K5*Assumptions!$B$21,Actuals!N87)</f>
        <v/>
      </c>
      <c r="N177" s="401">
        <f>IF(ISBLANK(Actuals!O87),-Helpers!L5*Assumptions!$B$21,Actuals!O87)</f>
        <v/>
      </c>
      <c r="O177" s="401">
        <f>IF(ISBLANK(Actuals!P87),-Helpers!M5*Assumptions!$B$21,Actuals!P87)</f>
        <v/>
      </c>
      <c r="P177" s="401">
        <f>IF(ISBLANK(Actuals!Q87),-Helpers!N5*Assumptions!$B$21,Actuals!Q87)</f>
        <v/>
      </c>
      <c r="Q177" s="401">
        <f>IF(ISBLANK(Actuals!R87),-Helpers!O5*Assumptions!$B$21,Actuals!R87)</f>
        <v/>
      </c>
      <c r="R177" s="401">
        <f>IF(ISBLANK(Actuals!S87),-Helpers!P5*Assumptions!$B$21,Actuals!S87)</f>
        <v/>
      </c>
      <c r="S177" s="401">
        <f>IF(ISBLANK(Actuals!T87),-Helpers!Q5*Assumptions!$B$21,Actuals!T87)</f>
        <v/>
      </c>
      <c r="T177" s="401">
        <f>IF(ISBLANK(Actuals!U87),-Helpers!R5*Assumptions!$B$21,Actuals!U87)</f>
        <v/>
      </c>
      <c r="U177" s="401">
        <f>IF(ISBLANK(Actuals!V87),-Helpers!S5*Assumptions!$B$21,Actuals!V87)</f>
        <v/>
      </c>
      <c r="V177" s="401">
        <f>IF(ISBLANK(Actuals!W87),-Helpers!T5*Assumptions!$B$21,Actuals!W87)</f>
        <v/>
      </c>
      <c r="W177" s="401">
        <f>IF(ISBLANK(Actuals!X87),-Helpers!U5*Assumptions!$B$21,Actuals!X87)</f>
        <v/>
      </c>
      <c r="X177" s="401">
        <f>IF(ISBLANK(Actuals!Y87),-Helpers!V5*Assumptions!$B$21,Actuals!Y87)</f>
        <v/>
      </c>
      <c r="Y177" s="401">
        <f>IF(ISBLANK(Actuals!Z87),-Helpers!W5*Assumptions!$B$21,Actuals!Z87)</f>
        <v/>
      </c>
      <c r="Z177" s="401">
        <f>IF(ISBLANK(Actuals!AA87),-Helpers!X5*Assumptions!$B$21,Actuals!AA87)</f>
        <v/>
      </c>
      <c r="AA177" s="401">
        <f>IF(ISBLANK(Actuals!AB87),-Helpers!Y5*Assumptions!$B$21,Actuals!AB87)</f>
        <v/>
      </c>
      <c r="AB177" s="401">
        <f>IF(ISBLANK(Actuals!AC87),-Helpers!Z5*Assumptions!$B$21,Actuals!AC87)</f>
        <v/>
      </c>
      <c r="AC177" s="401">
        <f>IF(ISBLANK(Actuals!AD87),-Helpers!AA5*Assumptions!$B$21,Actuals!AD87)</f>
        <v/>
      </c>
      <c r="AD177" s="401">
        <f>IF(ISBLANK(Actuals!AE87),-Helpers!AB5*Assumptions!$B$21,Actuals!AE87)</f>
        <v/>
      </c>
      <c r="AE177" s="401">
        <f>IF(ISBLANK(Actuals!AF87),-Helpers!AC5*Assumptions!$B$21,Actuals!AF87)</f>
        <v/>
      </c>
      <c r="AF177" s="401">
        <f>IF(ISBLANK(Actuals!AG87),-Helpers!AD5*Assumptions!$B$21,Actuals!AG87)</f>
        <v/>
      </c>
      <c r="AG177" s="401">
        <f>IF(ISBLANK(Actuals!AH87),-Helpers!AE5*Assumptions!$B$21,Actuals!AH87)</f>
        <v/>
      </c>
      <c r="AH177" s="401">
        <f>IF(ISBLANK(Actuals!AI87),-Helpers!AF5*Assumptions!$B$21,Actuals!AI87)</f>
        <v/>
      </c>
      <c r="AI177" s="401">
        <f>IF(ISBLANK(Actuals!AJ87),-Helpers!AG5*Assumptions!$B$21,Actuals!AJ87)</f>
        <v/>
      </c>
      <c r="AJ177" s="401">
        <f>IF(ISBLANK(Actuals!AK87),-Helpers!AH5*Assumptions!$B$21,Actuals!AK87)</f>
        <v/>
      </c>
      <c r="AK177" s="401">
        <f>IF(ISBLANK(Actuals!AL87),-Helpers!AI5*Assumptions!$B$21,Actuals!AL87)</f>
        <v/>
      </c>
      <c r="AL177" s="401">
        <f>IF(ISBLANK(Actuals!AM87),-Helpers!AJ5*Assumptions!$B$21,Actuals!AM87)</f>
        <v/>
      </c>
      <c r="AM177" s="401">
        <f>IF(ISBLANK(Actuals!AN87),-Helpers!AK5*Assumptions!$B$21,Actuals!AN87)</f>
        <v/>
      </c>
      <c r="AN177" s="401">
        <f>IF(ISBLANK(Actuals!AO87),-Helpers!AL5*Assumptions!$B$21,Actuals!AO87)</f>
        <v/>
      </c>
      <c r="AO177" s="401">
        <f>IF(ISBLANK(Actuals!AP87),-Helpers!AM5*Assumptions!$B$21,Actuals!AP87)</f>
        <v/>
      </c>
      <c r="AP177" s="401">
        <f>IF(ISBLANK(Actuals!AQ87),-Helpers!AN5*Assumptions!$B$21,Actuals!AQ87)</f>
        <v/>
      </c>
      <c r="AQ177" s="401">
        <f>IF(ISBLANK(Actuals!AR87),-Helpers!AO5*Assumptions!$B$21,Actuals!AR87)</f>
        <v/>
      </c>
      <c r="AR177" s="401">
        <f>IF(ISBLANK(Actuals!AS87),-Helpers!AP5*Assumptions!$B$21,Actuals!AS87)</f>
        <v/>
      </c>
      <c r="AS177" s="401">
        <f>IF(ISBLANK(Actuals!AT87),-Helpers!AQ5*Assumptions!$B$21,Actuals!AT87)</f>
        <v/>
      </c>
      <c r="AT177" s="401">
        <f>IF(ISBLANK(Actuals!AU87),-Helpers!AR5*Assumptions!$B$21,Actuals!AU87)</f>
        <v/>
      </c>
      <c r="AU177" s="401">
        <f>IF(ISBLANK(Actuals!AV87),-Helpers!AS5*Assumptions!$B$21,Actuals!AV87)</f>
        <v/>
      </c>
      <c r="AV177" s="401">
        <f>IF(ISBLANK(Actuals!AW87),-Helpers!AT5*Assumptions!$B$21,Actuals!AW87)</f>
        <v/>
      </c>
      <c r="AW177" s="401">
        <f>IF(ISBLANK(Actuals!AX87),-Helpers!AU5*Assumptions!$B$21,Actuals!AX87)</f>
        <v/>
      </c>
      <c r="AX177" s="401">
        <f>IF(ISBLANK(Actuals!AY87),-Helpers!AV5*Assumptions!$B$21,Actuals!AY87)</f>
        <v/>
      </c>
      <c r="AY177" s="401">
        <f>IF(ISBLANK(Actuals!AZ87),-Helpers!AW5*Assumptions!$B$21,Actuals!AZ87)</f>
        <v/>
      </c>
      <c r="AZ177" s="401">
        <f>IF(ISBLANK(Actuals!BA87),-Helpers!AX5*Assumptions!$B$21,Actuals!BA87)</f>
        <v/>
      </c>
      <c r="BA177" s="401">
        <f>IF(ISBLANK(Actuals!BB87),-Helpers!AY5*Assumptions!$B$21,Actuals!BB87)</f>
        <v/>
      </c>
      <c r="BB177" s="401">
        <f>IF(ISBLANK(Actuals!BC87),-Helpers!AZ5*Assumptions!$B$21,Actuals!BC87)</f>
        <v/>
      </c>
      <c r="BC177" s="401">
        <f>IF(ISBLANK(Actuals!BD87),-Helpers!BA5*Assumptions!$B$21,Actuals!BD87)</f>
        <v/>
      </c>
      <c r="BD177" s="401">
        <f>IF(ISBLANK(Actuals!BE87),-Helpers!BB5*Assumptions!$B$21,Actuals!BE87)</f>
        <v/>
      </c>
      <c r="BE177" s="401">
        <f>IF(ISBLANK(Actuals!BF87),-Helpers!BC5*Assumptions!$B$21,Actuals!BF87)</f>
        <v/>
      </c>
      <c r="BF177" s="401">
        <f>IF(ISBLANK(Actuals!BG87),-Helpers!BD5*Assumptions!$B$21,Actuals!BG87)</f>
        <v/>
      </c>
      <c r="BG177" s="401">
        <f>IF(ISBLANK(Actuals!BH87),-Helpers!BE5*Assumptions!$B$21,Actuals!BH87)</f>
        <v/>
      </c>
      <c r="BH177" s="401">
        <f>IF(ISBLANK(Actuals!BI87),-Helpers!BF5*Assumptions!$B$21,Actuals!BI87)</f>
        <v/>
      </c>
      <c r="BI177" s="401">
        <f>IF(ISBLANK(Actuals!BJ87),-Helpers!BG5*Assumptions!$B$21,Actuals!BJ87)</f>
        <v/>
      </c>
      <c r="BJ177" s="401">
        <f>IF(ISBLANK(Actuals!BK87),-Helpers!BH5*Assumptions!$B$21,Actuals!BK87)</f>
        <v/>
      </c>
      <c r="BK177" s="401">
        <f>IF(ISBLANK(Actuals!BL87),-Helpers!BI5*Assumptions!$B$21,Actuals!BL87)</f>
        <v/>
      </c>
      <c r="BL177" s="401">
        <f>IF(ISBLANK(Actuals!BM87),-Helpers!BJ5*Assumptions!$B$21,Actuals!BM87)</f>
        <v/>
      </c>
      <c r="BM177" s="401">
        <f>IF(ISBLANK(Actuals!BN87),-Helpers!BK5*Assumptions!$B$21,Actuals!BN87)</f>
        <v/>
      </c>
      <c r="BN177" s="401">
        <f>IF(ISBLANK(Actuals!BO87),-Helpers!BL5*Assumptions!$B$21,Actuals!BO87)</f>
        <v/>
      </c>
      <c r="BO177" s="401">
        <f>IF(ISBLANK(Actuals!BP87),-Helpers!BM5*Assumptions!$B$21,Actuals!BP87)</f>
        <v/>
      </c>
      <c r="BP177" s="401">
        <f>IF(ISBLANK(Actuals!BQ87),-Helpers!BN5*Assumptions!$B$21,Actuals!BQ87)</f>
        <v/>
      </c>
      <c r="BQ177" s="401">
        <f>IF(ISBLANK(Actuals!BR87),-Helpers!BO5*Assumptions!$B$21,Actuals!BR87)</f>
        <v/>
      </c>
      <c r="BR177" s="401">
        <f>IF(ISBLANK(Actuals!BS87),-Helpers!BP5*Assumptions!$B$21,Actuals!BS87)</f>
        <v/>
      </c>
      <c r="BS177" s="401">
        <f>IF(ISBLANK(Actuals!BT87),-Helpers!BQ5*Assumptions!$B$21,Actuals!BT87)</f>
        <v/>
      </c>
      <c r="BT177" s="401">
        <f>IF(ISBLANK(Actuals!BU87),-Helpers!BR5*Assumptions!$B$21,Actuals!BU87)</f>
        <v/>
      </c>
      <c r="BU177" s="401">
        <f>IF(ISBLANK(Actuals!BV87),-Helpers!BS5*Assumptions!$B$21,Actuals!BV87)</f>
        <v/>
      </c>
      <c r="BV177" s="401">
        <f>IF(ISBLANK(Actuals!BW87),-Helpers!BT5*Assumptions!$B$21,Actuals!BW87)</f>
        <v/>
      </c>
      <c r="BW177" s="401">
        <f>IF(ISBLANK(Actuals!BX87),-Helpers!BU5*Assumptions!$B$21,Actuals!BX87)</f>
        <v/>
      </c>
      <c r="BX177" s="401">
        <f>IF(ISBLANK(Actuals!BY87),-Helpers!BV5*Assumptions!$B$21,Actuals!BY87)</f>
        <v/>
      </c>
      <c r="BY177" s="401">
        <f>IF(ISBLANK(Actuals!BZ87),-Helpers!BW5*Assumptions!$B$21,Actuals!BZ87)</f>
        <v/>
      </c>
      <c r="BZ177" s="401">
        <f>IF(ISBLANK(Actuals!CA87),-Helpers!BX5*Assumptions!$B$21,Actuals!CA87)</f>
        <v/>
      </c>
      <c r="CA177" s="401">
        <f>IF(ISBLANK(Actuals!CB87),-Helpers!BY5*Assumptions!$B$21,Actuals!CB87)</f>
        <v/>
      </c>
      <c r="CB177" s="401">
        <f>IF(ISBLANK(Actuals!CC87),-Helpers!BZ5*Assumptions!$B$21,Actuals!CC87)</f>
        <v/>
      </c>
      <c r="CC177" s="401">
        <f>IF(ISBLANK(Actuals!CD87),-Helpers!CA5*Assumptions!$B$21,Actuals!CD87)</f>
        <v/>
      </c>
      <c r="CD177" s="401">
        <f>IF(ISBLANK(Actuals!CE87),-Helpers!CB5*Assumptions!$B$21,Actuals!CE87)</f>
        <v/>
      </c>
      <c r="CE177" s="401">
        <f>IF(ISBLANK(Actuals!CF87),-Helpers!CC5*Assumptions!$B$21,Actuals!CF87)</f>
        <v/>
      </c>
      <c r="CF177" s="401">
        <f>IF(ISBLANK(Actuals!CG87),-Helpers!CD5*Assumptions!$B$21,Actuals!CG87)</f>
        <v/>
      </c>
      <c r="CG177" s="401">
        <f>IF(ISBLANK(Actuals!CH87),-Helpers!CE5*Assumptions!$B$21,Actuals!CH87)</f>
        <v/>
      </c>
      <c r="CH177" s="401">
        <f>IF(ISBLANK(Actuals!CI87),-Helpers!CF5*Assumptions!$B$21,Actuals!CI87)</f>
        <v/>
      </c>
      <c r="CI177" s="401">
        <f>IF(ISBLANK(Actuals!CJ87),-Helpers!CG5*Assumptions!$B$21,Actuals!CJ87)</f>
        <v/>
      </c>
      <c r="CJ177" s="401">
        <f>IF(ISBLANK(Actuals!CK87),-Helpers!CH5*Assumptions!$B$21,Actuals!CK87)</f>
        <v/>
      </c>
      <c r="CK177" s="401">
        <f>IF(ISBLANK(Actuals!CL87),-Helpers!CI5*Assumptions!$B$21,Actuals!CL87)</f>
        <v/>
      </c>
      <c r="CL177" s="401">
        <f>IF(ISBLANK(Actuals!CM87),-Helpers!CJ5*Assumptions!$B$21,Actuals!CM87)</f>
        <v/>
      </c>
      <c r="CM177" s="401">
        <f>IF(ISBLANK(Actuals!CN87),-Helpers!CK5*Assumptions!$B$21,Actuals!CN87)</f>
        <v/>
      </c>
      <c r="CN177" s="401">
        <f>IF(ISBLANK(Actuals!CO87),-Helpers!CL5*Assumptions!$B$21,Actuals!CO87)</f>
        <v/>
      </c>
      <c r="CO177" s="401">
        <f>IF(ISBLANK(Actuals!CP87),-Helpers!CM5*Assumptions!$B$21,Actuals!CP87)</f>
        <v/>
      </c>
      <c r="CP177" s="401">
        <f>IF(ISBLANK(Actuals!CQ87),-Helpers!CN5*Assumptions!$B$21,Actuals!CQ87)</f>
        <v/>
      </c>
      <c r="CQ177" s="401">
        <f>IF(ISBLANK(Actuals!CR87),-Helpers!CO5*Assumptions!$B$21,Actuals!CR87)</f>
        <v/>
      </c>
      <c r="CR177" s="401">
        <f>IF(ISBLANK(Actuals!CS87),-Helpers!CP5*Assumptions!$B$21,Actuals!CS87)</f>
        <v/>
      </c>
      <c r="CS177" s="401">
        <f>IF(ISBLANK(Actuals!CT87),-Helpers!CQ5*Assumptions!$B$21,Actuals!CT87)</f>
        <v/>
      </c>
      <c r="CT177" s="401">
        <f>IF(ISBLANK(Actuals!CU87),-Helpers!CR5*Assumptions!$B$21,Actuals!CU87)</f>
        <v/>
      </c>
      <c r="CU177" s="401">
        <f>IF(ISBLANK(Actuals!CV87),-Helpers!CS5*Assumptions!$B$21,Actuals!CV87)</f>
        <v/>
      </c>
      <c r="CV177" s="401">
        <f>IF(ISBLANK(Actuals!CW87),-Helpers!CT5*Assumptions!$B$21,Actuals!CW87)</f>
        <v/>
      </c>
      <c r="CW177" s="401">
        <f>IF(ISBLANK(Actuals!CX87),-Helpers!CU5*Assumptions!$B$21,Actuals!CX87)</f>
        <v/>
      </c>
      <c r="CX177" s="401">
        <f>IF(ISBLANK(Actuals!CY87),-Helpers!CV5*Assumptions!$B$21,Actuals!CY87)</f>
        <v/>
      </c>
      <c r="CY177" s="401">
        <f>IF(ISBLANK(Actuals!CZ87),-Helpers!CW5*Assumptions!$B$21,Actuals!CZ87)</f>
        <v/>
      </c>
      <c r="CZ177" s="401">
        <f>IF(ISBLANK(Actuals!DA87),-Helpers!CX5*Assumptions!$B$21,Actuals!DA87)</f>
        <v/>
      </c>
      <c r="DA177" s="401">
        <f>IF(ISBLANK(Actuals!DB87),-Helpers!CY5*Assumptions!$B$21,Actuals!DB87)</f>
        <v/>
      </c>
      <c r="DB177" s="401">
        <f>IF(ISBLANK(Actuals!DC87),-Helpers!CZ5*Assumptions!$B$21,Actuals!DC87)</f>
        <v/>
      </c>
      <c r="DC177" s="401">
        <f>IF(ISBLANK(Actuals!DD87),-Helpers!DA5*Assumptions!$B$21,Actuals!DD87)</f>
        <v/>
      </c>
      <c r="DD177" s="401">
        <f>IF(ISBLANK(Actuals!DE87),-Helpers!DB5*Assumptions!$B$21,Actuals!DE87)</f>
        <v/>
      </c>
      <c r="DE177" s="401">
        <f>IF(ISBLANK(Actuals!DF87),-Helpers!DC5*Assumptions!$B$21,Actuals!DF87)</f>
        <v/>
      </c>
    </row>
    <row r="178" ht="15" customFormat="1" customHeight="1" s="380">
      <c r="A178" s="415" t="inlineStr">
        <is>
          <t>5100-1000 Rent Expense</t>
        </is>
      </c>
      <c r="B178" s="401">
        <f>IF(ISBLANK(Actuals!C88),0,Actuals!C88)</f>
        <v/>
      </c>
      <c r="C178" s="401">
        <f>IF(ISBLANK(Actuals!D88),0,Actuals!D88)</f>
        <v/>
      </c>
      <c r="D178" s="401">
        <f>IF(ISBLANK(Actuals!E88),0,Actuals!E88)</f>
        <v/>
      </c>
      <c r="E178" s="401">
        <f>IF(ISBLANK(Actuals!F88),-8500*Escalation!$B$2,Actuals!F88)</f>
        <v/>
      </c>
      <c r="F178" s="401">
        <f>IF(ISBLANK(Actuals!G88),-8500*Escalation!$B$3,Actuals!G88)</f>
        <v/>
      </c>
      <c r="G178" s="401">
        <f>IF(ISBLANK(Actuals!H88),-8500*Escalation!$B$4,Actuals!H88)</f>
        <v/>
      </c>
      <c r="H178" s="401">
        <f>IF(ISBLANK(Actuals!I88),-8500*Escalation!$B$5,Actuals!I88)</f>
        <v/>
      </c>
      <c r="I178" s="401">
        <f>IF(ISBLANK(Actuals!J88),-8500*Escalation!$B$6,Actuals!J88)</f>
        <v/>
      </c>
      <c r="J178" s="401">
        <f>IF(ISBLANK(Actuals!K88),-8500*Escalation!$B$7,Actuals!K88)</f>
        <v/>
      </c>
      <c r="K178" s="401">
        <f>IF(ISBLANK(Actuals!L88),-8500*Escalation!$B$8,Actuals!L88)</f>
        <v/>
      </c>
      <c r="L178" s="401">
        <f>IF(ISBLANK(Actuals!M88),-8500*Escalation!$B$9,Actuals!M88)</f>
        <v/>
      </c>
      <c r="M178" s="401">
        <f>IF(ISBLANK(Actuals!N88),-5000,Actuals!N88)</f>
        <v/>
      </c>
      <c r="N178" s="401">
        <f>IF(ISBLANK(Actuals!O88),-5000,Actuals!O88)</f>
        <v/>
      </c>
      <c r="O178" s="401">
        <f>IF(ISBLANK(Actuals!P88),-5000,Actuals!P88)</f>
        <v/>
      </c>
      <c r="P178" s="401">
        <f>IF(ISBLANK(Actuals!Q88),-5000,Actuals!Q88)</f>
        <v/>
      </c>
      <c r="Q178" s="401">
        <f>IF(ISBLANK(Actuals!R88),-5000,Actuals!R88)</f>
        <v/>
      </c>
      <c r="R178" s="401">
        <f>IF(ISBLANK(Actuals!S88),-5000,Actuals!S88)</f>
        <v/>
      </c>
      <c r="S178" s="401">
        <f>IF(ISBLANK(Actuals!T88),-5000,Actuals!T88)</f>
        <v/>
      </c>
      <c r="T178" s="401">
        <f>IF(ISBLANK(Actuals!U88),-5000,Actuals!U88)</f>
        <v/>
      </c>
      <c r="U178" s="401">
        <f>IF(ISBLANK(Actuals!V88),-5000,Actuals!V88)</f>
        <v/>
      </c>
      <c r="V178" s="401">
        <f>IF(ISBLANK(Actuals!W88),-5000,Actuals!W88)</f>
        <v/>
      </c>
      <c r="W178" s="401">
        <f>IF(ISBLANK(Actuals!X88),-5000,Actuals!X88)</f>
        <v/>
      </c>
      <c r="X178" s="401">
        <f>IF(ISBLANK(Actuals!Y88),-5000,Actuals!Y88)</f>
        <v/>
      </c>
      <c r="Y178" s="401">
        <f>IF(ISBLANK(Actuals!Z88),-5000,Actuals!Z88)</f>
        <v/>
      </c>
      <c r="Z178" s="401">
        <f>IF(ISBLANK(Actuals!AA88),-5000,Actuals!AA88)</f>
        <v/>
      </c>
      <c r="AA178" s="401">
        <f>IF(ISBLANK(Actuals!AB88),-5000,Actuals!AB88)</f>
        <v/>
      </c>
      <c r="AB178" s="401">
        <f>IF(ISBLANK(Actuals!AC88),-5000,Actuals!AC88)</f>
        <v/>
      </c>
      <c r="AC178" s="401">
        <f>IF(ISBLANK(Actuals!AD88),-5000,Actuals!AD88)</f>
        <v/>
      </c>
      <c r="AD178" s="401">
        <f>IF(ISBLANK(Actuals!AE88),-5000,Actuals!AE88)</f>
        <v/>
      </c>
      <c r="AE178" s="401">
        <f>IF(ISBLANK(Actuals!AF88),-5000,Actuals!AF88)</f>
        <v/>
      </c>
      <c r="AF178" s="401">
        <f>IF(ISBLANK(Actuals!AG88),-5000,Actuals!AG88)</f>
        <v/>
      </c>
      <c r="AG178" s="401">
        <f>IF(ISBLANK(Actuals!AH88),-5000,Actuals!AH88)</f>
        <v/>
      </c>
      <c r="AH178" s="401">
        <f>IF(ISBLANK(Actuals!AI88),-5000,Actuals!AI88)</f>
        <v/>
      </c>
      <c r="AI178" s="401">
        <f>IF(ISBLANK(Actuals!AJ88),-5000,Actuals!AJ88)</f>
        <v/>
      </c>
      <c r="AJ178" s="401">
        <f>IF(ISBLANK(Actuals!AK88),-5000,Actuals!AK88)</f>
        <v/>
      </c>
      <c r="AK178" s="401">
        <f>IF(ISBLANK(Actuals!AL88),-5000,Actuals!AL88)</f>
        <v/>
      </c>
      <c r="AL178" s="401">
        <f>IF(ISBLANK(Actuals!AM88),-5000,Actuals!AM88)</f>
        <v/>
      </c>
      <c r="AM178" s="401">
        <f>IF(ISBLANK(Actuals!AN88),-5000,Actuals!AN88)</f>
        <v/>
      </c>
      <c r="AN178" s="401">
        <f>IF(ISBLANK(Actuals!AO88),-5000,Actuals!AO88)</f>
        <v/>
      </c>
      <c r="AO178" s="401">
        <f>IF(ISBLANK(Actuals!AP88),-5000,Actuals!AP88)</f>
        <v/>
      </c>
      <c r="AP178" s="401">
        <f>IF(ISBLANK(Actuals!AQ88),-5000,Actuals!AQ88)</f>
        <v/>
      </c>
      <c r="AQ178" s="401">
        <f>IF(ISBLANK(Actuals!AR88),-5000,Actuals!AR88)</f>
        <v/>
      </c>
      <c r="AR178" s="401">
        <f>IF(ISBLANK(Actuals!AS88),-5000,Actuals!AS88)</f>
        <v/>
      </c>
      <c r="AS178" s="401">
        <f>IF(ISBLANK(Actuals!AT88),-5000,Actuals!AT88)</f>
        <v/>
      </c>
      <c r="AT178" s="401">
        <f>IF(ISBLANK(Actuals!AU88),-5000,Actuals!AU88)</f>
        <v/>
      </c>
      <c r="AU178" s="401">
        <f>IF(ISBLANK(Actuals!AV88),-5000,Actuals!AV88)</f>
        <v/>
      </c>
      <c r="AV178" s="401">
        <f>IF(ISBLANK(Actuals!AW88),-5000,Actuals!AW88)</f>
        <v/>
      </c>
      <c r="AW178" s="401">
        <f>IF(ISBLANK(Actuals!AX88),-5000,Actuals!AX88)</f>
        <v/>
      </c>
      <c r="AX178" s="401">
        <f>IF(ISBLANK(Actuals!AY88),-5000,Actuals!AY88)</f>
        <v/>
      </c>
      <c r="AY178" s="401">
        <f>IF(ISBLANK(Actuals!AZ88),-5000,Actuals!AZ88)</f>
        <v/>
      </c>
      <c r="AZ178" s="401">
        <f>IF(ISBLANK(Actuals!BA88),-5000,Actuals!BA88)</f>
        <v/>
      </c>
      <c r="BA178" s="401">
        <f>IF(ISBLANK(Actuals!BB88),-5000,Actuals!BB88)</f>
        <v/>
      </c>
      <c r="BB178" s="401">
        <f>IF(ISBLANK(Actuals!BC88),-5000,Actuals!BC88)</f>
        <v/>
      </c>
      <c r="BC178" s="401">
        <f>IF(ISBLANK(Actuals!BD88),-5000,Actuals!BD88)</f>
        <v/>
      </c>
      <c r="BD178" s="401">
        <f>IF(ISBLANK(Actuals!BE88),-5000,Actuals!BE88)</f>
        <v/>
      </c>
      <c r="BE178" s="401">
        <f>IF(ISBLANK(Actuals!BF88),-5000,Actuals!BF88)</f>
        <v/>
      </c>
      <c r="BF178" s="401">
        <f>IF(ISBLANK(Actuals!BG88),-5000,Actuals!BG88)</f>
        <v/>
      </c>
      <c r="BG178" s="401">
        <f>IF(ISBLANK(Actuals!BH88),-5000,Actuals!BH88)</f>
        <v/>
      </c>
      <c r="BH178" s="401">
        <f>IF(ISBLANK(Actuals!BI88),-5000,Actuals!BI88)</f>
        <v/>
      </c>
      <c r="BI178" s="401">
        <f>IF(ISBLANK(Actuals!BJ88),-5000,Actuals!BJ88)</f>
        <v/>
      </c>
      <c r="BJ178" s="401">
        <f>IF(ISBLANK(Actuals!BK88),-5000,Actuals!BK88)</f>
        <v/>
      </c>
      <c r="BK178" s="401">
        <f>IF(ISBLANK(Actuals!BL88),-5000,Actuals!BL88)</f>
        <v/>
      </c>
      <c r="BL178" s="401">
        <f>IF(ISBLANK(Actuals!BM88),-5000,Actuals!BM88)</f>
        <v/>
      </c>
      <c r="BM178" s="401">
        <f>IF(ISBLANK(Actuals!BN88),-5000,Actuals!BN88)</f>
        <v/>
      </c>
      <c r="BN178" s="401">
        <f>IF(ISBLANK(Actuals!BO88),-5000,Actuals!BO88)</f>
        <v/>
      </c>
      <c r="BO178" s="401">
        <f>IF(ISBLANK(Actuals!BP88),-5000,Actuals!BP88)</f>
        <v/>
      </c>
      <c r="BP178" s="401">
        <f>IF(ISBLANK(Actuals!BQ88),-5000,Actuals!BQ88)</f>
        <v/>
      </c>
      <c r="BQ178" s="401">
        <f>IF(ISBLANK(Actuals!BR88),-5000,Actuals!BR88)</f>
        <v/>
      </c>
      <c r="BR178" s="401">
        <f>IF(ISBLANK(Actuals!BS88),-5000,Actuals!BS88)</f>
        <v/>
      </c>
      <c r="BS178" s="401">
        <f>IF(ISBLANK(Actuals!BT88),-5000,Actuals!BT88)</f>
        <v/>
      </c>
      <c r="BT178" s="401">
        <f>IF(ISBLANK(Actuals!BU88),-5000,Actuals!BU88)</f>
        <v/>
      </c>
      <c r="BU178" s="401">
        <f>IF(ISBLANK(Actuals!BV88),-5000,Actuals!BV88)</f>
        <v/>
      </c>
      <c r="BV178" s="401">
        <f>IF(ISBLANK(Actuals!BW88),-5000,Actuals!BW88)</f>
        <v/>
      </c>
      <c r="BW178" s="401">
        <f>IF(ISBLANK(Actuals!BX88),-5000,Actuals!BX88)</f>
        <v/>
      </c>
      <c r="BX178" s="401">
        <f>IF(ISBLANK(Actuals!BY88),-5000,Actuals!BY88)</f>
        <v/>
      </c>
      <c r="BY178" s="401">
        <f>IF(ISBLANK(Actuals!BZ88),-5000,Actuals!BZ88)</f>
        <v/>
      </c>
      <c r="BZ178" s="401">
        <f>IF(ISBLANK(Actuals!CA88),-5000,Actuals!CA88)</f>
        <v/>
      </c>
      <c r="CA178" s="401">
        <f>IF(ISBLANK(Actuals!CB88),-5000,Actuals!CB88)</f>
        <v/>
      </c>
      <c r="CB178" s="401">
        <f>IF(ISBLANK(Actuals!CC88),-5000,Actuals!CC88)</f>
        <v/>
      </c>
      <c r="CC178" s="401">
        <f>IF(ISBLANK(Actuals!CD88),-5000,Actuals!CD88)</f>
        <v/>
      </c>
      <c r="CD178" s="401">
        <f>IF(ISBLANK(Actuals!CE88),-5000,Actuals!CE88)</f>
        <v/>
      </c>
      <c r="CE178" s="401">
        <f>IF(ISBLANK(Actuals!CF88),-5000,Actuals!CF88)</f>
        <v/>
      </c>
      <c r="CF178" s="401">
        <f>IF(ISBLANK(Actuals!CG88),-5000,Actuals!CG88)</f>
        <v/>
      </c>
      <c r="CG178" s="401">
        <f>IF(ISBLANK(Actuals!CH88),-5000,Actuals!CH88)</f>
        <v/>
      </c>
      <c r="CH178" s="401">
        <f>IF(ISBLANK(Actuals!CI88),-5000,Actuals!CI88)</f>
        <v/>
      </c>
      <c r="CI178" s="401">
        <f>IF(ISBLANK(Actuals!CJ88),-5000,Actuals!CJ88)</f>
        <v/>
      </c>
      <c r="CJ178" s="401">
        <f>IF(ISBLANK(Actuals!CK88),-5000,Actuals!CK88)</f>
        <v/>
      </c>
      <c r="CK178" s="401">
        <f>IF(ISBLANK(Actuals!CL88),-5000,Actuals!CL88)</f>
        <v/>
      </c>
      <c r="CL178" s="401">
        <f>IF(ISBLANK(Actuals!CM88),-5000,Actuals!CM88)</f>
        <v/>
      </c>
      <c r="CM178" s="401">
        <f>IF(ISBLANK(Actuals!CN88),-5000,Actuals!CN88)</f>
        <v/>
      </c>
      <c r="CN178" s="401">
        <f>IF(ISBLANK(Actuals!CO88),-5000,Actuals!CO88)</f>
        <v/>
      </c>
      <c r="CO178" s="401">
        <f>IF(ISBLANK(Actuals!CP88),-5000,Actuals!CP88)</f>
        <v/>
      </c>
      <c r="CP178" s="401">
        <f>IF(ISBLANK(Actuals!CQ88),-5000,Actuals!CQ88)</f>
        <v/>
      </c>
      <c r="CQ178" s="401">
        <f>IF(ISBLANK(Actuals!CR88),-5000,Actuals!CR88)</f>
        <v/>
      </c>
      <c r="CR178" s="401">
        <f>IF(ISBLANK(Actuals!CS88),-5000,Actuals!CS88)</f>
        <v/>
      </c>
      <c r="CS178" s="401">
        <f>IF(ISBLANK(Actuals!CT88),-5000,Actuals!CT88)</f>
        <v/>
      </c>
      <c r="CT178" s="401">
        <f>IF(ISBLANK(Actuals!CU88),-5000,Actuals!CU88)</f>
        <v/>
      </c>
      <c r="CU178" s="401">
        <f>IF(ISBLANK(Actuals!CV88),-5000,Actuals!CV88)</f>
        <v/>
      </c>
      <c r="CV178" s="401">
        <f>IF(ISBLANK(Actuals!CW88),-5000,Actuals!CW88)</f>
        <v/>
      </c>
      <c r="CW178" s="401">
        <f>IF(ISBLANK(Actuals!CX88),-5000,Actuals!CX88)</f>
        <v/>
      </c>
      <c r="CX178" s="401">
        <f>IF(ISBLANK(Actuals!CY88),-5000,Actuals!CY88)</f>
        <v/>
      </c>
      <c r="CY178" s="401">
        <f>IF(ISBLANK(Actuals!CZ88),-5000,Actuals!CZ88)</f>
        <v/>
      </c>
      <c r="CZ178" s="401">
        <f>IF(ISBLANK(Actuals!DA88),-5000,Actuals!DA88)</f>
        <v/>
      </c>
      <c r="DA178" s="401">
        <f>IF(ISBLANK(Actuals!DB88),-5000,Actuals!DB88)</f>
        <v/>
      </c>
      <c r="DB178" s="401">
        <f>IF(ISBLANK(Actuals!DC88),-5000,Actuals!DC88)</f>
        <v/>
      </c>
      <c r="DC178" s="401">
        <f>IF(ISBLANK(Actuals!DD88),-5000,Actuals!DD88)</f>
        <v/>
      </c>
      <c r="DD178" s="401">
        <f>IF(ISBLANK(Actuals!DE88),-5000,Actuals!DE88)</f>
        <v/>
      </c>
      <c r="DE178" s="401">
        <f>IF(ISBLANK(Actuals!DF88),-5000,Actuals!DF88)</f>
        <v/>
      </c>
    </row>
    <row r="179" ht="15" customFormat="1" customHeight="1" s="380">
      <c r="A179" s="415" t="inlineStr">
        <is>
          <t>5200-1000 Office Supplies and Expenses</t>
        </is>
      </c>
      <c r="B179" s="401">
        <f>IF(ISBLANK(Actuals!C89),0,Actuals!C89)</f>
        <v/>
      </c>
      <c r="C179" s="401">
        <f>IF(ISBLANK(Actuals!D89),0,Actuals!D89)</f>
        <v/>
      </c>
      <c r="D179" s="401">
        <f>IF(ISBLANK(Actuals!E89),0,Actuals!E89)</f>
        <v/>
      </c>
      <c r="E179" s="401">
        <f>IF(ISBLANK(Actuals!F89),-583.8*Escalation!$B$2,Actuals!F89)</f>
        <v/>
      </c>
      <c r="F179" s="401">
        <f>IF(ISBLANK(Actuals!G89),-583.8*Escalation!$B$3,Actuals!G89)</f>
        <v/>
      </c>
      <c r="G179" s="401">
        <f>IF(ISBLANK(Actuals!H89),-583.8*Escalation!$B$4,Actuals!H89)</f>
        <v/>
      </c>
      <c r="H179" s="401">
        <f>IF(ISBLANK(Actuals!I89),-583.8*Escalation!$B$5,Actuals!I89)</f>
        <v/>
      </c>
      <c r="I179" s="401">
        <f>IF(ISBLANK(Actuals!J89),-583.8*Escalation!$B$6,Actuals!J89)</f>
        <v/>
      </c>
      <c r="J179" s="401">
        <f>IF(ISBLANK(Actuals!K89),-583.8*Escalation!$B$7,Actuals!K89)</f>
        <v/>
      </c>
      <c r="K179" s="401">
        <f>IF(ISBLANK(Actuals!L89),-583.8*Escalation!$B$8,Actuals!L89)</f>
        <v/>
      </c>
      <c r="L179" s="401">
        <f>IF(ISBLANK(Actuals!M89),-583.8*Escalation!$B$9,Actuals!M89)</f>
        <v/>
      </c>
      <c r="M179" s="401">
        <f>IF(ISBLANK(Actuals!N89),-583.8*Escalation!$B$10,Actuals!N89)</f>
        <v/>
      </c>
      <c r="N179" s="401">
        <f>IF(ISBLANK(Actuals!O89),-583.8*Escalation!$B$11,Actuals!O89)</f>
        <v/>
      </c>
      <c r="O179" s="401">
        <f>IF(ISBLANK(Actuals!P89),-583.8*Escalation!$B$12,Actuals!P89)</f>
        <v/>
      </c>
      <c r="P179" s="401">
        <f>IF(ISBLANK(Actuals!Q89),-583.8*Escalation!$B$13,Actuals!Q89)</f>
        <v/>
      </c>
      <c r="Q179" s="401">
        <f>IF(ISBLANK(Actuals!R89),-583.8*Escalation!$B$14,Actuals!R89)</f>
        <v/>
      </c>
      <c r="R179" s="401">
        <f>IF(ISBLANK(Actuals!S89),-583.8*Escalation!$B$15,Actuals!S89)</f>
        <v/>
      </c>
      <c r="S179" s="401">
        <f>IF(ISBLANK(Actuals!T89),-583.8*Escalation!$B$16,Actuals!T89)</f>
        <v/>
      </c>
      <c r="T179" s="401">
        <f>IF(ISBLANK(Actuals!U89),-583.8*Escalation!$B$17,Actuals!U89)</f>
        <v/>
      </c>
      <c r="U179" s="401">
        <f>IF(ISBLANK(Actuals!V89),-583.8*Escalation!$B$18,Actuals!V89)</f>
        <v/>
      </c>
      <c r="V179" s="401">
        <f>IF(ISBLANK(Actuals!W89),-583.8*Escalation!$B$19,Actuals!W89)</f>
        <v/>
      </c>
      <c r="W179" s="401">
        <f>IF(ISBLANK(Actuals!X89),-583.8*Escalation!$B$20,Actuals!X89)</f>
        <v/>
      </c>
      <c r="X179" s="401">
        <f>IF(ISBLANK(Actuals!Y89),-583.8*Escalation!$B$21,Actuals!Y89)</f>
        <v/>
      </c>
      <c r="Y179" s="401">
        <f>IF(ISBLANK(Actuals!Z89),-583.8*Escalation!$B$22,Actuals!Z89)</f>
        <v/>
      </c>
      <c r="Z179" s="401">
        <f>IF(ISBLANK(Actuals!AA89),-583.8*Escalation!$B$23,Actuals!AA89)</f>
        <v/>
      </c>
      <c r="AA179" s="401">
        <f>IF(ISBLANK(Actuals!AB89),-583.8*Escalation!$B$24,Actuals!AB89)</f>
        <v/>
      </c>
      <c r="AB179" s="401">
        <f>IF(ISBLANK(Actuals!AC89),-583.8*Escalation!$B$25,Actuals!AC89)</f>
        <v/>
      </c>
      <c r="AC179" s="401">
        <f>IF(ISBLANK(Actuals!AD89),-583.8*Escalation!$B$26,Actuals!AD89)</f>
        <v/>
      </c>
      <c r="AD179" s="401">
        <f>IF(ISBLANK(Actuals!AE89),-583.8*Escalation!$B$27,Actuals!AE89)</f>
        <v/>
      </c>
      <c r="AE179" s="401">
        <f>IF(ISBLANK(Actuals!AF89),-583.8*Escalation!$B$28,Actuals!AF89)</f>
        <v/>
      </c>
      <c r="AF179" s="401">
        <f>IF(ISBLANK(Actuals!AG89),-583.8*Escalation!$B$29,Actuals!AG89)</f>
        <v/>
      </c>
      <c r="AG179" s="401">
        <f>IF(ISBLANK(Actuals!AH89),-583.8*Escalation!$B$30,Actuals!AH89)</f>
        <v/>
      </c>
      <c r="AH179" s="401">
        <f>IF(ISBLANK(Actuals!AI89),-583.8*Escalation!$B$31,Actuals!AI89)</f>
        <v/>
      </c>
      <c r="AI179" s="401">
        <f>IF(ISBLANK(Actuals!AJ89),-583.8*Escalation!$B$32,Actuals!AJ89)</f>
        <v/>
      </c>
      <c r="AJ179" s="401">
        <f>IF(ISBLANK(Actuals!AK89),-583.8*Escalation!$B$33,Actuals!AK89)</f>
        <v/>
      </c>
      <c r="AK179" s="401">
        <f>IF(ISBLANK(Actuals!AL89),-583.8*Escalation!$B$34,Actuals!AL89)</f>
        <v/>
      </c>
      <c r="AL179" s="401">
        <f>IF(ISBLANK(Actuals!AM89),-583.8*Escalation!$B$35,Actuals!AM89)</f>
        <v/>
      </c>
      <c r="AM179" s="401">
        <f>IF(ISBLANK(Actuals!AN89),-583.8*Escalation!$B$36,Actuals!AN89)</f>
        <v/>
      </c>
      <c r="AN179" s="401">
        <f>IF(ISBLANK(Actuals!AO89),-583.8*Escalation!$B$37,Actuals!AO89)</f>
        <v/>
      </c>
      <c r="AO179" s="401">
        <f>IF(ISBLANK(Actuals!AP89),-583.8*Escalation!$B$38,Actuals!AP89)</f>
        <v/>
      </c>
      <c r="AP179" s="401">
        <f>IF(ISBLANK(Actuals!AQ89),-583.8*Escalation!$B$39,Actuals!AQ89)</f>
        <v/>
      </c>
      <c r="AQ179" s="401">
        <f>IF(ISBLANK(Actuals!AR89),-583.8*Escalation!$B$40,Actuals!AR89)</f>
        <v/>
      </c>
      <c r="AR179" s="401">
        <f>IF(ISBLANK(Actuals!AS89),-583.8*Escalation!$B$41,Actuals!AS89)</f>
        <v/>
      </c>
      <c r="AS179" s="401">
        <f>IF(ISBLANK(Actuals!AT89),-583.8*Escalation!$B$42,Actuals!AT89)</f>
        <v/>
      </c>
      <c r="AT179" s="401">
        <f>IF(ISBLANK(Actuals!AU89),-583.8*Escalation!$B$43,Actuals!AU89)</f>
        <v/>
      </c>
      <c r="AU179" s="401">
        <f>IF(ISBLANK(Actuals!AV89),-583.8*Escalation!$B$44,Actuals!AV89)</f>
        <v/>
      </c>
      <c r="AV179" s="401">
        <f>IF(ISBLANK(Actuals!AW89),-583.8*Escalation!$B$45,Actuals!AW89)</f>
        <v/>
      </c>
      <c r="AW179" s="401">
        <f>IF(ISBLANK(Actuals!AX89),-583.8*Escalation!$B$46,Actuals!AX89)</f>
        <v/>
      </c>
      <c r="AX179" s="401">
        <f>IF(ISBLANK(Actuals!AY89),-583.8*Escalation!$B$47,Actuals!AY89)</f>
        <v/>
      </c>
      <c r="AY179" s="401">
        <f>IF(ISBLANK(Actuals!AZ89),-583.8*Escalation!$B$48,Actuals!AZ89)</f>
        <v/>
      </c>
      <c r="AZ179" s="401">
        <f>IF(ISBLANK(Actuals!BA89),-583.8*Escalation!$B$49,Actuals!BA89)</f>
        <v/>
      </c>
      <c r="BA179" s="401">
        <f>IF(ISBLANK(Actuals!BB89),-583.8*Escalation!$B$50,Actuals!BB89)</f>
        <v/>
      </c>
      <c r="BB179" s="401">
        <f>IF(ISBLANK(Actuals!BC89),-583.8*Escalation!$B$51,Actuals!BC89)</f>
        <v/>
      </c>
      <c r="BC179" s="401">
        <f>IF(ISBLANK(Actuals!BD89),-583.8*Escalation!$B$52,Actuals!BD89)</f>
        <v/>
      </c>
      <c r="BD179" s="401">
        <f>IF(ISBLANK(Actuals!BE89),-583.8*Escalation!$B$53,Actuals!BE89)</f>
        <v/>
      </c>
      <c r="BE179" s="401">
        <f>IF(ISBLANK(Actuals!BF89),-583.8*Escalation!$B$54,Actuals!BF89)</f>
        <v/>
      </c>
      <c r="BF179" s="401">
        <f>IF(ISBLANK(Actuals!BG89),-583.8*Escalation!$B$55,Actuals!BG89)</f>
        <v/>
      </c>
      <c r="BG179" s="401">
        <f>IF(ISBLANK(Actuals!BH89),-583.8*Escalation!$B$56,Actuals!BH89)</f>
        <v/>
      </c>
      <c r="BH179" s="401">
        <f>IF(ISBLANK(Actuals!BI89),-583.8*Escalation!$B$57,Actuals!BI89)</f>
        <v/>
      </c>
      <c r="BI179" s="401">
        <f>IF(ISBLANK(Actuals!BJ89),-583.8*Escalation!$B$58,Actuals!BJ89)</f>
        <v/>
      </c>
      <c r="BJ179" s="401">
        <f>IF(ISBLANK(Actuals!BK89),-583.8*Escalation!$B$59,Actuals!BK89)</f>
        <v/>
      </c>
      <c r="BK179" s="401">
        <f>IF(ISBLANK(Actuals!BL89),-583.8*Escalation!$B$60,Actuals!BL89)</f>
        <v/>
      </c>
      <c r="BL179" s="401">
        <f>IF(ISBLANK(Actuals!BM89),-583.8*Escalation!$B$61,Actuals!BM89)</f>
        <v/>
      </c>
      <c r="BM179" s="401">
        <f>IF(ISBLANK(Actuals!BN89),-583.8*Escalation!$B$62,Actuals!BN89)</f>
        <v/>
      </c>
      <c r="BN179" s="401">
        <f>IF(ISBLANK(Actuals!BO89),-583.8*Escalation!$B$63,Actuals!BO89)</f>
        <v/>
      </c>
      <c r="BO179" s="401">
        <f>IF(ISBLANK(Actuals!BP89),-583.8*Escalation!$B$64,Actuals!BP89)</f>
        <v/>
      </c>
      <c r="BP179" s="401">
        <f>IF(ISBLANK(Actuals!BQ89),-583.8*Escalation!$B$65,Actuals!BQ89)</f>
        <v/>
      </c>
      <c r="BQ179" s="401">
        <f>IF(ISBLANK(Actuals!BR89),-583.8*Escalation!$B$66,Actuals!BR89)</f>
        <v/>
      </c>
      <c r="BR179" s="401">
        <f>IF(ISBLANK(Actuals!BS89),-583.8*Escalation!$B$67,Actuals!BS89)</f>
        <v/>
      </c>
      <c r="BS179" s="401">
        <f>IF(ISBLANK(Actuals!BT89),-583.8*Escalation!$B$68,Actuals!BT89)</f>
        <v/>
      </c>
      <c r="BT179" s="401">
        <f>IF(ISBLANK(Actuals!BU89),-583.8*Escalation!$B$69,Actuals!BU89)</f>
        <v/>
      </c>
      <c r="BU179" s="401">
        <f>IF(ISBLANK(Actuals!BV89),-583.8*Escalation!$B$70,Actuals!BV89)</f>
        <v/>
      </c>
      <c r="BV179" s="401">
        <f>IF(ISBLANK(Actuals!BW89),-583.8*Escalation!$B$71,Actuals!BW89)</f>
        <v/>
      </c>
      <c r="BW179" s="401">
        <f>IF(ISBLANK(Actuals!BX89),-583.8*Escalation!$B$72,Actuals!BX89)</f>
        <v/>
      </c>
      <c r="BX179" s="401">
        <f>IF(ISBLANK(Actuals!BY89),-583.8*Escalation!$B$73,Actuals!BY89)</f>
        <v/>
      </c>
      <c r="BY179" s="401">
        <f>IF(ISBLANK(Actuals!BZ89),-583.8*Escalation!$B$74,Actuals!BZ89)</f>
        <v/>
      </c>
      <c r="BZ179" s="401">
        <f>IF(ISBLANK(Actuals!CA89),-583.8*Escalation!$B$75,Actuals!CA89)</f>
        <v/>
      </c>
      <c r="CA179" s="401">
        <f>IF(ISBLANK(Actuals!CB89),-583.8*Escalation!$B$76,Actuals!CB89)</f>
        <v/>
      </c>
      <c r="CB179" s="401">
        <f>IF(ISBLANK(Actuals!CC89),-583.8*Escalation!$B$77,Actuals!CC89)</f>
        <v/>
      </c>
      <c r="CC179" s="401">
        <f>IF(ISBLANK(Actuals!CD89),-583.8*Escalation!$B$78,Actuals!CD89)</f>
        <v/>
      </c>
      <c r="CD179" s="401">
        <f>IF(ISBLANK(Actuals!CE89),-583.8*Escalation!$B$79,Actuals!CE89)</f>
        <v/>
      </c>
      <c r="CE179" s="401">
        <f>IF(ISBLANK(Actuals!CF89),-583.8*Escalation!$B$80,Actuals!CF89)</f>
        <v/>
      </c>
      <c r="CF179" s="401">
        <f>IF(ISBLANK(Actuals!CG89),-583.8*Escalation!$B$81,Actuals!CG89)</f>
        <v/>
      </c>
      <c r="CG179" s="401">
        <f>IF(ISBLANK(Actuals!CH89),-583.8*Escalation!$B$82,Actuals!CH89)</f>
        <v/>
      </c>
      <c r="CH179" s="401">
        <f>IF(ISBLANK(Actuals!CI89),-583.8*Escalation!$B$83,Actuals!CI89)</f>
        <v/>
      </c>
      <c r="CI179" s="401">
        <f>IF(ISBLANK(Actuals!CJ89),-583.8*Escalation!$B$84,Actuals!CJ89)</f>
        <v/>
      </c>
      <c r="CJ179" s="401">
        <f>IF(ISBLANK(Actuals!CK89),-583.8*Escalation!$B$85,Actuals!CK89)</f>
        <v/>
      </c>
      <c r="CK179" s="401">
        <f>IF(ISBLANK(Actuals!CL89),-583.8*Escalation!$B$86,Actuals!CL89)</f>
        <v/>
      </c>
      <c r="CL179" s="401">
        <f>IF(ISBLANK(Actuals!CM89),-583.8*Escalation!$B$87,Actuals!CM89)</f>
        <v/>
      </c>
      <c r="CM179" s="401">
        <f>IF(ISBLANK(Actuals!CN89),-583.8*Escalation!$B$88,Actuals!CN89)</f>
        <v/>
      </c>
      <c r="CN179" s="401">
        <f>IF(ISBLANK(Actuals!CO89),-583.8*Escalation!$B$89,Actuals!CO89)</f>
        <v/>
      </c>
      <c r="CO179" s="401">
        <f>IF(ISBLANK(Actuals!CP89),-583.8*Escalation!$B$90,Actuals!CP89)</f>
        <v/>
      </c>
      <c r="CP179" s="401">
        <f>IF(ISBLANK(Actuals!CQ89),-583.8*Escalation!$B$91,Actuals!CQ89)</f>
        <v/>
      </c>
      <c r="CQ179" s="401">
        <f>IF(ISBLANK(Actuals!CR89),-583.8*Escalation!$B$92,Actuals!CR89)</f>
        <v/>
      </c>
      <c r="CR179" s="401">
        <f>IF(ISBLANK(Actuals!CS89),-583.8*Escalation!$B$93,Actuals!CS89)</f>
        <v/>
      </c>
      <c r="CS179" s="401">
        <f>IF(ISBLANK(Actuals!CT89),-583.8*Escalation!$B$94,Actuals!CT89)</f>
        <v/>
      </c>
      <c r="CT179" s="401">
        <f>IF(ISBLANK(Actuals!CU89),-583.8*Escalation!$B$95,Actuals!CU89)</f>
        <v/>
      </c>
      <c r="CU179" s="401">
        <f>IF(ISBLANK(Actuals!CV89),-583.8*Escalation!$B$96,Actuals!CV89)</f>
        <v/>
      </c>
      <c r="CV179" s="401">
        <f>IF(ISBLANK(Actuals!CW89),-583.8*Escalation!$B$97,Actuals!CW89)</f>
        <v/>
      </c>
      <c r="CW179" s="401">
        <f>IF(ISBLANK(Actuals!CX89),-583.8*Escalation!$B$98,Actuals!CX89)</f>
        <v/>
      </c>
      <c r="CX179" s="401">
        <f>IF(ISBLANK(Actuals!CY89),-583.8*Escalation!$B$99,Actuals!CY89)</f>
        <v/>
      </c>
      <c r="CY179" s="401">
        <f>IF(ISBLANK(Actuals!CZ89),-583.8*Escalation!$B$100,Actuals!CZ89)</f>
        <v/>
      </c>
      <c r="CZ179" s="401">
        <f>IF(ISBLANK(Actuals!DA89),-583.8*Escalation!$B$101,Actuals!DA89)</f>
        <v/>
      </c>
      <c r="DA179" s="401">
        <f>IF(ISBLANK(Actuals!DB89),-583.8*Escalation!$B$102,Actuals!DB89)</f>
        <v/>
      </c>
      <c r="DB179" s="401">
        <f>IF(ISBLANK(Actuals!DC89),-583.8*Escalation!$B$103,Actuals!DC89)</f>
        <v/>
      </c>
      <c r="DC179" s="401">
        <f>IF(ISBLANK(Actuals!DD89),-583.8*Escalation!$B$104,Actuals!DD89)</f>
        <v/>
      </c>
      <c r="DD179" s="401">
        <f>IF(ISBLANK(Actuals!DE89),-583.8*Escalation!$B$105,Actuals!DE89)</f>
        <v/>
      </c>
      <c r="DE179" s="401">
        <f>IF(ISBLANK(Actuals!DF89),-583.8*Escalation!$B$106,Actuals!DF89)</f>
        <v/>
      </c>
    </row>
    <row r="180" ht="15" customFormat="1" customHeight="1" s="380">
      <c r="A180" s="415" t="inlineStr">
        <is>
          <t>5200-1053 IT Software and Subscriptions</t>
        </is>
      </c>
      <c r="B180" s="401">
        <f>IF(ISBLANK(Actuals!C90),0,Actuals!C90)</f>
        <v/>
      </c>
      <c r="C180" s="401">
        <f>IF(ISBLANK(Actuals!D90),0,Actuals!D90)</f>
        <v/>
      </c>
      <c r="D180" s="401">
        <f>IF(ISBLANK(Actuals!E90),0,Actuals!E90)</f>
        <v/>
      </c>
      <c r="E180" s="401">
        <f>IF(ISBLANK(Actuals!F90),-1497.86*Escalation!$B$2,Actuals!F90)</f>
        <v/>
      </c>
      <c r="F180" s="401">
        <f>IF(ISBLANK(Actuals!G90),-1497.86*Escalation!$B$3,Actuals!G90)</f>
        <v/>
      </c>
      <c r="G180" s="401">
        <f>IF(ISBLANK(Actuals!H90),-1497.86*Escalation!$B$4,Actuals!H90)</f>
        <v/>
      </c>
      <c r="H180" s="401">
        <f>IF(ISBLANK(Actuals!I90),-1497.86*Escalation!$B$5,Actuals!I90)</f>
        <v/>
      </c>
      <c r="I180" s="401">
        <f>IF(ISBLANK(Actuals!J90),-1497.86*Escalation!$B$6,Actuals!J90)</f>
        <v/>
      </c>
      <c r="J180" s="401">
        <f>IF(ISBLANK(Actuals!K90),-1497.86*Escalation!$B$7,Actuals!K90)</f>
        <v/>
      </c>
      <c r="K180" s="401">
        <f>IF(ISBLANK(Actuals!L90),-1497.86*Escalation!$B$8,Actuals!L90)</f>
        <v/>
      </c>
      <c r="L180" s="401">
        <f>IF(ISBLANK(Actuals!M90),-1497.86*Escalation!$B$9,Actuals!M90)</f>
        <v/>
      </c>
      <c r="M180" s="401">
        <f>IF(ISBLANK(Actuals!N90),-1497.86*Escalation!$B$10,Actuals!N90)</f>
        <v/>
      </c>
      <c r="N180" s="401">
        <f>IF(ISBLANK(Actuals!O90),-1497.86*Escalation!$B$11,Actuals!O90)</f>
        <v/>
      </c>
      <c r="O180" s="401">
        <f>IF(ISBLANK(Actuals!P90),-1497.86*Escalation!$B$12,Actuals!P90)</f>
        <v/>
      </c>
      <c r="P180" s="401">
        <f>IF(ISBLANK(Actuals!Q90),-1497.86*Escalation!$B$13,Actuals!Q90)</f>
        <v/>
      </c>
      <c r="Q180" s="401">
        <f>IF(ISBLANK(Actuals!R90),-1497.86*Escalation!$B$14,Actuals!R90)</f>
        <v/>
      </c>
      <c r="R180" s="401">
        <f>IF(ISBLANK(Actuals!S90),-1497.86*Escalation!$B$15,Actuals!S90)</f>
        <v/>
      </c>
      <c r="S180" s="401">
        <f>IF(ISBLANK(Actuals!T90),-1497.86*Escalation!$B$16,Actuals!T90)</f>
        <v/>
      </c>
      <c r="T180" s="401">
        <f>IF(ISBLANK(Actuals!U90),-1497.86*Escalation!$B$17,Actuals!U90)</f>
        <v/>
      </c>
      <c r="U180" s="401">
        <f>IF(ISBLANK(Actuals!V90),-1497.86*Escalation!$B$18,Actuals!V90)</f>
        <v/>
      </c>
      <c r="V180" s="401">
        <f>IF(ISBLANK(Actuals!W90),-1497.86*Escalation!$B$19,Actuals!W90)</f>
        <v/>
      </c>
      <c r="W180" s="401">
        <f>IF(ISBLANK(Actuals!X90),-1497.86*Escalation!$B$20,Actuals!X90)</f>
        <v/>
      </c>
      <c r="X180" s="401">
        <f>IF(ISBLANK(Actuals!Y90),-1497.86*Escalation!$B$21,Actuals!Y90)</f>
        <v/>
      </c>
      <c r="Y180" s="401">
        <f>IF(ISBLANK(Actuals!Z90),-1497.86*Escalation!$B$22,Actuals!Z90)</f>
        <v/>
      </c>
      <c r="Z180" s="401">
        <f>IF(ISBLANK(Actuals!AA90),-1497.86*Escalation!$B$23,Actuals!AA90)</f>
        <v/>
      </c>
      <c r="AA180" s="401">
        <f>IF(ISBLANK(Actuals!AB90),-1497.86*Escalation!$B$24,Actuals!AB90)</f>
        <v/>
      </c>
      <c r="AB180" s="401">
        <f>IF(ISBLANK(Actuals!AC90),-1497.86*Escalation!$B$25,Actuals!AC90)</f>
        <v/>
      </c>
      <c r="AC180" s="401">
        <f>IF(ISBLANK(Actuals!AD90),-1497.86*Escalation!$B$26,Actuals!AD90)</f>
        <v/>
      </c>
      <c r="AD180" s="401">
        <f>IF(ISBLANK(Actuals!AE90),-1497.86*Escalation!$B$27,Actuals!AE90)</f>
        <v/>
      </c>
      <c r="AE180" s="401">
        <f>IF(ISBLANK(Actuals!AF90),-1497.86*Escalation!$B$28,Actuals!AF90)</f>
        <v/>
      </c>
      <c r="AF180" s="401">
        <f>IF(ISBLANK(Actuals!AG90),-1497.86*Escalation!$B$29,Actuals!AG90)</f>
        <v/>
      </c>
      <c r="AG180" s="401">
        <f>IF(ISBLANK(Actuals!AH90),-1497.86*Escalation!$B$30,Actuals!AH90)</f>
        <v/>
      </c>
      <c r="AH180" s="401">
        <f>IF(ISBLANK(Actuals!AI90),-1497.86*Escalation!$B$31,Actuals!AI90)</f>
        <v/>
      </c>
      <c r="AI180" s="401">
        <f>IF(ISBLANK(Actuals!AJ90),-1497.86*Escalation!$B$32,Actuals!AJ90)</f>
        <v/>
      </c>
      <c r="AJ180" s="401">
        <f>IF(ISBLANK(Actuals!AK90),-1497.86*Escalation!$B$33,Actuals!AK90)</f>
        <v/>
      </c>
      <c r="AK180" s="401">
        <f>IF(ISBLANK(Actuals!AL90),-1497.86*Escalation!$B$34,Actuals!AL90)</f>
        <v/>
      </c>
      <c r="AL180" s="401">
        <f>IF(ISBLANK(Actuals!AM90),-1497.86*Escalation!$B$35,Actuals!AM90)</f>
        <v/>
      </c>
      <c r="AM180" s="401">
        <f>IF(ISBLANK(Actuals!AN90),-1497.86*Escalation!$B$36,Actuals!AN90)</f>
        <v/>
      </c>
      <c r="AN180" s="401">
        <f>IF(ISBLANK(Actuals!AO90),-1497.86*Escalation!$B$37,Actuals!AO90)</f>
        <v/>
      </c>
      <c r="AO180" s="401">
        <f>IF(ISBLANK(Actuals!AP90),-1497.86*Escalation!$B$38,Actuals!AP90)</f>
        <v/>
      </c>
      <c r="AP180" s="401">
        <f>IF(ISBLANK(Actuals!AQ90),-1497.86*Escalation!$B$39,Actuals!AQ90)</f>
        <v/>
      </c>
      <c r="AQ180" s="401">
        <f>IF(ISBLANK(Actuals!AR90),-1497.86*Escalation!$B$40,Actuals!AR90)</f>
        <v/>
      </c>
      <c r="AR180" s="401">
        <f>IF(ISBLANK(Actuals!AS90),-1497.86*Escalation!$B$41,Actuals!AS90)</f>
        <v/>
      </c>
      <c r="AS180" s="401">
        <f>IF(ISBLANK(Actuals!AT90),-1497.86*Escalation!$B$42,Actuals!AT90)</f>
        <v/>
      </c>
      <c r="AT180" s="401">
        <f>IF(ISBLANK(Actuals!AU90),-1497.86*Escalation!$B$43,Actuals!AU90)</f>
        <v/>
      </c>
      <c r="AU180" s="401">
        <f>IF(ISBLANK(Actuals!AV90),-1497.86*Escalation!$B$44,Actuals!AV90)</f>
        <v/>
      </c>
      <c r="AV180" s="401">
        <f>IF(ISBLANK(Actuals!AW90),-1497.86*Escalation!$B$45,Actuals!AW90)</f>
        <v/>
      </c>
      <c r="AW180" s="401">
        <f>IF(ISBLANK(Actuals!AX90),-1497.86*Escalation!$B$46,Actuals!AX90)</f>
        <v/>
      </c>
      <c r="AX180" s="401">
        <f>IF(ISBLANK(Actuals!AY90),-1497.86*Escalation!$B$47,Actuals!AY90)</f>
        <v/>
      </c>
      <c r="AY180" s="401">
        <f>IF(ISBLANK(Actuals!AZ90),-1497.86*Escalation!$B$48,Actuals!AZ90)</f>
        <v/>
      </c>
      <c r="AZ180" s="401">
        <f>IF(ISBLANK(Actuals!BA90),-1497.86*Escalation!$B$49,Actuals!BA90)</f>
        <v/>
      </c>
      <c r="BA180" s="401">
        <f>IF(ISBLANK(Actuals!BB90),-1497.86*Escalation!$B$50,Actuals!BB90)</f>
        <v/>
      </c>
      <c r="BB180" s="401">
        <f>IF(ISBLANK(Actuals!BC90),-1497.86*Escalation!$B$51,Actuals!BC90)</f>
        <v/>
      </c>
      <c r="BC180" s="401">
        <f>IF(ISBLANK(Actuals!BD90),-1497.86*Escalation!$B$52,Actuals!BD90)</f>
        <v/>
      </c>
      <c r="BD180" s="401">
        <f>IF(ISBLANK(Actuals!BE90),-1497.86*Escalation!$B$53,Actuals!BE90)</f>
        <v/>
      </c>
      <c r="BE180" s="401">
        <f>IF(ISBLANK(Actuals!BF90),-1497.86*Escalation!$B$54,Actuals!BF90)</f>
        <v/>
      </c>
      <c r="BF180" s="401">
        <f>IF(ISBLANK(Actuals!BG90),-1497.86*Escalation!$B$55,Actuals!BG90)</f>
        <v/>
      </c>
      <c r="BG180" s="401">
        <f>IF(ISBLANK(Actuals!BH90),-1497.86*Escalation!$B$56,Actuals!BH90)</f>
        <v/>
      </c>
      <c r="BH180" s="401">
        <f>IF(ISBLANK(Actuals!BI90),-1497.86*Escalation!$B$57,Actuals!BI90)</f>
        <v/>
      </c>
      <c r="BI180" s="401">
        <f>IF(ISBLANK(Actuals!BJ90),-1497.86*Escalation!$B$58,Actuals!BJ90)</f>
        <v/>
      </c>
      <c r="BJ180" s="401">
        <f>IF(ISBLANK(Actuals!BK90),-1497.86*Escalation!$B$59,Actuals!BK90)</f>
        <v/>
      </c>
      <c r="BK180" s="401">
        <f>IF(ISBLANK(Actuals!BL90),-1497.86*Escalation!$B$60,Actuals!BL90)</f>
        <v/>
      </c>
      <c r="BL180" s="401">
        <f>IF(ISBLANK(Actuals!BM90),-1497.86*Escalation!$B$61,Actuals!BM90)</f>
        <v/>
      </c>
      <c r="BM180" s="401">
        <f>IF(ISBLANK(Actuals!BN90),-1497.86*Escalation!$B$62,Actuals!BN90)</f>
        <v/>
      </c>
      <c r="BN180" s="401">
        <f>IF(ISBLANK(Actuals!BO90),-1497.86*Escalation!$B$63,Actuals!BO90)</f>
        <v/>
      </c>
      <c r="BO180" s="401">
        <f>IF(ISBLANK(Actuals!BP90),-1497.86*Escalation!$B$64,Actuals!BP90)</f>
        <v/>
      </c>
      <c r="BP180" s="401">
        <f>IF(ISBLANK(Actuals!BQ90),-1497.86*Escalation!$B$65,Actuals!BQ90)</f>
        <v/>
      </c>
      <c r="BQ180" s="401">
        <f>IF(ISBLANK(Actuals!BR90),-1497.86*Escalation!$B$66,Actuals!BR90)</f>
        <v/>
      </c>
      <c r="BR180" s="401">
        <f>IF(ISBLANK(Actuals!BS90),-1497.86*Escalation!$B$67,Actuals!BS90)</f>
        <v/>
      </c>
      <c r="BS180" s="401">
        <f>IF(ISBLANK(Actuals!BT90),-1497.86*Escalation!$B$68,Actuals!BT90)</f>
        <v/>
      </c>
      <c r="BT180" s="401">
        <f>IF(ISBLANK(Actuals!BU90),-1497.86*Escalation!$B$69,Actuals!BU90)</f>
        <v/>
      </c>
      <c r="BU180" s="401">
        <f>IF(ISBLANK(Actuals!BV90),-1497.86*Escalation!$B$70,Actuals!BV90)</f>
        <v/>
      </c>
      <c r="BV180" s="401">
        <f>IF(ISBLANK(Actuals!BW90),-1497.86*Escalation!$B$71,Actuals!BW90)</f>
        <v/>
      </c>
      <c r="BW180" s="401">
        <f>IF(ISBLANK(Actuals!BX90),-1497.86*Escalation!$B$72,Actuals!BX90)</f>
        <v/>
      </c>
      <c r="BX180" s="401">
        <f>IF(ISBLANK(Actuals!BY90),-1497.86*Escalation!$B$73,Actuals!BY90)</f>
        <v/>
      </c>
      <c r="BY180" s="401">
        <f>IF(ISBLANK(Actuals!BZ90),-1497.86*Escalation!$B$74,Actuals!BZ90)</f>
        <v/>
      </c>
      <c r="BZ180" s="401">
        <f>IF(ISBLANK(Actuals!CA90),-1497.86*Escalation!$B$75,Actuals!CA90)</f>
        <v/>
      </c>
      <c r="CA180" s="401">
        <f>IF(ISBLANK(Actuals!CB90),-1497.86*Escalation!$B$76,Actuals!CB90)</f>
        <v/>
      </c>
      <c r="CB180" s="401">
        <f>IF(ISBLANK(Actuals!CC90),-1497.86*Escalation!$B$77,Actuals!CC90)</f>
        <v/>
      </c>
      <c r="CC180" s="401">
        <f>IF(ISBLANK(Actuals!CD90),-1497.86*Escalation!$B$78,Actuals!CD90)</f>
        <v/>
      </c>
      <c r="CD180" s="401">
        <f>IF(ISBLANK(Actuals!CE90),-1497.86*Escalation!$B$79,Actuals!CE90)</f>
        <v/>
      </c>
      <c r="CE180" s="401">
        <f>IF(ISBLANK(Actuals!CF90),-1497.86*Escalation!$B$80,Actuals!CF90)</f>
        <v/>
      </c>
      <c r="CF180" s="401">
        <f>IF(ISBLANK(Actuals!CG90),-1497.86*Escalation!$B$81,Actuals!CG90)</f>
        <v/>
      </c>
      <c r="CG180" s="401">
        <f>IF(ISBLANK(Actuals!CH90),-1497.86*Escalation!$B$82,Actuals!CH90)</f>
        <v/>
      </c>
      <c r="CH180" s="401">
        <f>IF(ISBLANK(Actuals!CI90),-1497.86*Escalation!$B$83,Actuals!CI90)</f>
        <v/>
      </c>
      <c r="CI180" s="401">
        <f>IF(ISBLANK(Actuals!CJ90),-1497.86*Escalation!$B$84,Actuals!CJ90)</f>
        <v/>
      </c>
      <c r="CJ180" s="401">
        <f>IF(ISBLANK(Actuals!CK90),-1497.86*Escalation!$B$85,Actuals!CK90)</f>
        <v/>
      </c>
      <c r="CK180" s="401">
        <f>IF(ISBLANK(Actuals!CL90),-1497.86*Escalation!$B$86,Actuals!CL90)</f>
        <v/>
      </c>
      <c r="CL180" s="401">
        <f>IF(ISBLANK(Actuals!CM90),-1497.86*Escalation!$B$87,Actuals!CM90)</f>
        <v/>
      </c>
      <c r="CM180" s="401">
        <f>IF(ISBLANK(Actuals!CN90),-1497.86*Escalation!$B$88,Actuals!CN90)</f>
        <v/>
      </c>
      <c r="CN180" s="401">
        <f>IF(ISBLANK(Actuals!CO90),-1497.86*Escalation!$B$89,Actuals!CO90)</f>
        <v/>
      </c>
      <c r="CO180" s="401">
        <f>IF(ISBLANK(Actuals!CP90),-1497.86*Escalation!$B$90,Actuals!CP90)</f>
        <v/>
      </c>
      <c r="CP180" s="401">
        <f>IF(ISBLANK(Actuals!CQ90),-1497.86*Escalation!$B$91,Actuals!CQ90)</f>
        <v/>
      </c>
      <c r="CQ180" s="401">
        <f>IF(ISBLANK(Actuals!CR90),-1497.86*Escalation!$B$92,Actuals!CR90)</f>
        <v/>
      </c>
      <c r="CR180" s="401">
        <f>IF(ISBLANK(Actuals!CS90),-1497.86*Escalation!$B$93,Actuals!CS90)</f>
        <v/>
      </c>
      <c r="CS180" s="401">
        <f>IF(ISBLANK(Actuals!CT90),-1497.86*Escalation!$B$94,Actuals!CT90)</f>
        <v/>
      </c>
      <c r="CT180" s="401">
        <f>IF(ISBLANK(Actuals!CU90),-1497.86*Escalation!$B$95,Actuals!CU90)</f>
        <v/>
      </c>
      <c r="CU180" s="401">
        <f>IF(ISBLANK(Actuals!CV90),-1497.86*Escalation!$B$96,Actuals!CV90)</f>
        <v/>
      </c>
      <c r="CV180" s="401">
        <f>IF(ISBLANK(Actuals!CW90),-1497.86*Escalation!$B$97,Actuals!CW90)</f>
        <v/>
      </c>
      <c r="CW180" s="401">
        <f>IF(ISBLANK(Actuals!CX90),-1497.86*Escalation!$B$98,Actuals!CX90)</f>
        <v/>
      </c>
      <c r="CX180" s="401">
        <f>IF(ISBLANK(Actuals!CY90),-1497.86*Escalation!$B$99,Actuals!CY90)</f>
        <v/>
      </c>
      <c r="CY180" s="401">
        <f>IF(ISBLANK(Actuals!CZ90),-1497.86*Escalation!$B$100,Actuals!CZ90)</f>
        <v/>
      </c>
      <c r="CZ180" s="401">
        <f>IF(ISBLANK(Actuals!DA90),-1497.86*Escalation!$B$101,Actuals!DA90)</f>
        <v/>
      </c>
      <c r="DA180" s="401">
        <f>IF(ISBLANK(Actuals!DB90),-1497.86*Escalation!$B$102,Actuals!DB90)</f>
        <v/>
      </c>
      <c r="DB180" s="401">
        <f>IF(ISBLANK(Actuals!DC90),-1497.86*Escalation!$B$103,Actuals!DC90)</f>
        <v/>
      </c>
      <c r="DC180" s="401">
        <f>IF(ISBLANK(Actuals!DD90),-1497.86*Escalation!$B$104,Actuals!DD90)</f>
        <v/>
      </c>
      <c r="DD180" s="401">
        <f>IF(ISBLANK(Actuals!DE90),-1497.86*Escalation!$B$105,Actuals!DE90)</f>
        <v/>
      </c>
      <c r="DE180" s="401">
        <f>IF(ISBLANK(Actuals!DF90),-1497.86*Escalation!$B$106,Actuals!DF90)</f>
        <v/>
      </c>
    </row>
    <row r="181" ht="15" customFormat="1" customHeight="1" s="380">
      <c r="A181" s="415" t="inlineStr">
        <is>
          <t>5200-1060 Website Design</t>
        </is>
      </c>
      <c r="B181" s="401">
        <f>IF(ISBLANK(Actuals!C91),0,Actuals!C91)</f>
        <v/>
      </c>
      <c r="C181" s="401">
        <f>IF(ISBLANK(Actuals!D91),0,Actuals!D91)</f>
        <v/>
      </c>
      <c r="D181" s="401">
        <f>IF(ISBLANK(Actuals!E91),0,Actuals!E91)</f>
        <v/>
      </c>
      <c r="E181" s="401">
        <f>IF(ISBLANK(Actuals!F91),-290*Escalation!$B$2,Actuals!F91)</f>
        <v/>
      </c>
      <c r="F181" s="401">
        <f>IF(ISBLANK(Actuals!G91),-290*Escalation!$B$3,Actuals!G91)</f>
        <v/>
      </c>
      <c r="G181" s="401">
        <f>IF(ISBLANK(Actuals!H91),-290*Escalation!$B$4,Actuals!H91)</f>
        <v/>
      </c>
      <c r="H181" s="401">
        <f>IF(ISBLANK(Actuals!I91),-290*Escalation!$B$5,Actuals!I91)</f>
        <v/>
      </c>
      <c r="I181" s="401">
        <f>IF(ISBLANK(Actuals!J91),-290*Escalation!$B$6,Actuals!J91)</f>
        <v/>
      </c>
      <c r="J181" s="401">
        <f>IF(ISBLANK(Actuals!K91),-290*Escalation!$B$7,Actuals!K91)</f>
        <v/>
      </c>
      <c r="K181" s="401">
        <f>IF(ISBLANK(Actuals!L91),-290*Escalation!$B$8,Actuals!L91)</f>
        <v/>
      </c>
      <c r="L181" s="401">
        <f>IF(ISBLANK(Actuals!M91),-290*Escalation!$B$9,Actuals!M91)</f>
        <v/>
      </c>
      <c r="M181" s="401">
        <f>IF(ISBLANK(Actuals!N91),-290*Escalation!$B$10,Actuals!N91)</f>
        <v/>
      </c>
      <c r="N181" s="401">
        <f>IF(ISBLANK(Actuals!O91),-290*Escalation!$B$11,Actuals!O91)</f>
        <v/>
      </c>
      <c r="O181" s="401">
        <f>IF(ISBLANK(Actuals!P91),-290*Escalation!$B$12,Actuals!P91)</f>
        <v/>
      </c>
      <c r="P181" s="401">
        <f>IF(ISBLANK(Actuals!Q91),-290*Escalation!$B$13,Actuals!Q91)</f>
        <v/>
      </c>
      <c r="Q181" s="401">
        <f>IF(ISBLANK(Actuals!R91),-290*Escalation!$B$14,Actuals!R91)</f>
        <v/>
      </c>
      <c r="R181" s="401">
        <f>IF(ISBLANK(Actuals!S91),-290*Escalation!$B$15,Actuals!S91)</f>
        <v/>
      </c>
      <c r="S181" s="401">
        <f>IF(ISBLANK(Actuals!T91),-290*Escalation!$B$16,Actuals!T91)</f>
        <v/>
      </c>
      <c r="T181" s="401">
        <f>IF(ISBLANK(Actuals!U91),-290*Escalation!$B$17,Actuals!U91)</f>
        <v/>
      </c>
      <c r="U181" s="401">
        <f>IF(ISBLANK(Actuals!V91),-290*Escalation!$B$18,Actuals!V91)</f>
        <v/>
      </c>
      <c r="V181" s="401">
        <f>IF(ISBLANK(Actuals!W91),-290*Escalation!$B$19,Actuals!W91)</f>
        <v/>
      </c>
      <c r="W181" s="401">
        <f>IF(ISBLANK(Actuals!X91),-290*Escalation!$B$20,Actuals!X91)</f>
        <v/>
      </c>
      <c r="X181" s="401">
        <f>IF(ISBLANK(Actuals!Y91),-290*Escalation!$B$21,Actuals!Y91)</f>
        <v/>
      </c>
      <c r="Y181" s="401">
        <f>IF(ISBLANK(Actuals!Z91),-290*Escalation!$B$22,Actuals!Z91)</f>
        <v/>
      </c>
      <c r="Z181" s="401">
        <f>IF(ISBLANK(Actuals!AA91),-290*Escalation!$B$23,Actuals!AA91)</f>
        <v/>
      </c>
      <c r="AA181" s="401">
        <f>IF(ISBLANK(Actuals!AB91),-290*Escalation!$B$24,Actuals!AB91)</f>
        <v/>
      </c>
      <c r="AB181" s="401">
        <f>IF(ISBLANK(Actuals!AC91),-290*Escalation!$B$25,Actuals!AC91)</f>
        <v/>
      </c>
      <c r="AC181" s="401">
        <f>IF(ISBLANK(Actuals!AD91),-290*Escalation!$B$26,Actuals!AD91)</f>
        <v/>
      </c>
      <c r="AD181" s="401">
        <f>IF(ISBLANK(Actuals!AE91),-290*Escalation!$B$27,Actuals!AE91)</f>
        <v/>
      </c>
      <c r="AE181" s="401">
        <f>IF(ISBLANK(Actuals!AF91),-290*Escalation!$B$28,Actuals!AF91)</f>
        <v/>
      </c>
      <c r="AF181" s="401">
        <f>IF(ISBLANK(Actuals!AG91),-290*Escalation!$B$29,Actuals!AG91)</f>
        <v/>
      </c>
      <c r="AG181" s="401">
        <f>IF(ISBLANK(Actuals!AH91),-290*Escalation!$B$30,Actuals!AH91)</f>
        <v/>
      </c>
      <c r="AH181" s="401">
        <f>IF(ISBLANK(Actuals!AI91),-290*Escalation!$B$31,Actuals!AI91)</f>
        <v/>
      </c>
      <c r="AI181" s="401">
        <f>IF(ISBLANK(Actuals!AJ91),-290*Escalation!$B$32,Actuals!AJ91)</f>
        <v/>
      </c>
      <c r="AJ181" s="401">
        <f>IF(ISBLANK(Actuals!AK91),-290*Escalation!$B$33,Actuals!AK91)</f>
        <v/>
      </c>
      <c r="AK181" s="401">
        <f>IF(ISBLANK(Actuals!AL91),-290*Escalation!$B$34,Actuals!AL91)</f>
        <v/>
      </c>
      <c r="AL181" s="401">
        <f>IF(ISBLANK(Actuals!AM91),-290*Escalation!$B$35,Actuals!AM91)</f>
        <v/>
      </c>
      <c r="AM181" s="401">
        <f>IF(ISBLANK(Actuals!AN91),-290*Escalation!$B$36,Actuals!AN91)</f>
        <v/>
      </c>
      <c r="AN181" s="401">
        <f>IF(ISBLANK(Actuals!AO91),-290*Escalation!$B$37,Actuals!AO91)</f>
        <v/>
      </c>
      <c r="AO181" s="401">
        <f>IF(ISBLANK(Actuals!AP91),-290*Escalation!$B$38,Actuals!AP91)</f>
        <v/>
      </c>
      <c r="AP181" s="401">
        <f>IF(ISBLANK(Actuals!AQ91),-290*Escalation!$B$39,Actuals!AQ91)</f>
        <v/>
      </c>
      <c r="AQ181" s="401">
        <f>IF(ISBLANK(Actuals!AR91),-290*Escalation!$B$40,Actuals!AR91)</f>
        <v/>
      </c>
      <c r="AR181" s="401">
        <f>IF(ISBLANK(Actuals!AS91),-290*Escalation!$B$41,Actuals!AS91)</f>
        <v/>
      </c>
      <c r="AS181" s="401">
        <f>IF(ISBLANK(Actuals!AT91),-290*Escalation!$B$42,Actuals!AT91)</f>
        <v/>
      </c>
      <c r="AT181" s="401">
        <f>IF(ISBLANK(Actuals!AU91),-290*Escalation!$B$43,Actuals!AU91)</f>
        <v/>
      </c>
      <c r="AU181" s="401">
        <f>IF(ISBLANK(Actuals!AV91),-290*Escalation!$B$44,Actuals!AV91)</f>
        <v/>
      </c>
      <c r="AV181" s="401">
        <f>IF(ISBLANK(Actuals!AW91),-290*Escalation!$B$45,Actuals!AW91)</f>
        <v/>
      </c>
      <c r="AW181" s="401">
        <f>IF(ISBLANK(Actuals!AX91),-290*Escalation!$B$46,Actuals!AX91)</f>
        <v/>
      </c>
      <c r="AX181" s="401">
        <f>IF(ISBLANK(Actuals!AY91),-290*Escalation!$B$47,Actuals!AY91)</f>
        <v/>
      </c>
      <c r="AY181" s="401">
        <f>IF(ISBLANK(Actuals!AZ91),-290*Escalation!$B$48,Actuals!AZ91)</f>
        <v/>
      </c>
      <c r="AZ181" s="401">
        <f>IF(ISBLANK(Actuals!BA91),-290*Escalation!$B$49,Actuals!BA91)</f>
        <v/>
      </c>
      <c r="BA181" s="401">
        <f>IF(ISBLANK(Actuals!BB91),-290*Escalation!$B$50,Actuals!BB91)</f>
        <v/>
      </c>
      <c r="BB181" s="401">
        <f>IF(ISBLANK(Actuals!BC91),-290*Escalation!$B$51,Actuals!BC91)</f>
        <v/>
      </c>
      <c r="BC181" s="401">
        <f>IF(ISBLANK(Actuals!BD91),-290*Escalation!$B$52,Actuals!BD91)</f>
        <v/>
      </c>
      <c r="BD181" s="401">
        <f>IF(ISBLANK(Actuals!BE91),-290*Escalation!$B$53,Actuals!BE91)</f>
        <v/>
      </c>
      <c r="BE181" s="401">
        <f>IF(ISBLANK(Actuals!BF91),-290*Escalation!$B$54,Actuals!BF91)</f>
        <v/>
      </c>
      <c r="BF181" s="401">
        <f>IF(ISBLANK(Actuals!BG91),-290*Escalation!$B$55,Actuals!BG91)</f>
        <v/>
      </c>
      <c r="BG181" s="401">
        <f>IF(ISBLANK(Actuals!BH91),-290*Escalation!$B$56,Actuals!BH91)</f>
        <v/>
      </c>
      <c r="BH181" s="401">
        <f>IF(ISBLANK(Actuals!BI91),-290*Escalation!$B$57,Actuals!BI91)</f>
        <v/>
      </c>
      <c r="BI181" s="401">
        <f>IF(ISBLANK(Actuals!BJ91),-290*Escalation!$B$58,Actuals!BJ91)</f>
        <v/>
      </c>
      <c r="BJ181" s="401">
        <f>IF(ISBLANK(Actuals!BK91),-290*Escalation!$B$59,Actuals!BK91)</f>
        <v/>
      </c>
      <c r="BK181" s="401">
        <f>IF(ISBLANK(Actuals!BL91),-290*Escalation!$B$60,Actuals!BL91)</f>
        <v/>
      </c>
      <c r="BL181" s="401">
        <f>IF(ISBLANK(Actuals!BM91),-290*Escalation!$B$61,Actuals!BM91)</f>
        <v/>
      </c>
      <c r="BM181" s="401">
        <f>IF(ISBLANK(Actuals!BN91),-290*Escalation!$B$62,Actuals!BN91)</f>
        <v/>
      </c>
      <c r="BN181" s="401">
        <f>IF(ISBLANK(Actuals!BO91),-290*Escalation!$B$63,Actuals!BO91)</f>
        <v/>
      </c>
      <c r="BO181" s="401">
        <f>IF(ISBLANK(Actuals!BP91),-290*Escalation!$B$64,Actuals!BP91)</f>
        <v/>
      </c>
      <c r="BP181" s="401">
        <f>IF(ISBLANK(Actuals!BQ91),-290*Escalation!$B$65,Actuals!BQ91)</f>
        <v/>
      </c>
      <c r="BQ181" s="401">
        <f>IF(ISBLANK(Actuals!BR91),-290*Escalation!$B$66,Actuals!BR91)</f>
        <v/>
      </c>
      <c r="BR181" s="401">
        <f>IF(ISBLANK(Actuals!BS91),-290*Escalation!$B$67,Actuals!BS91)</f>
        <v/>
      </c>
      <c r="BS181" s="401">
        <f>IF(ISBLANK(Actuals!BT91),-290*Escalation!$B$68,Actuals!BT91)</f>
        <v/>
      </c>
      <c r="BT181" s="401">
        <f>IF(ISBLANK(Actuals!BU91),-290*Escalation!$B$69,Actuals!BU91)</f>
        <v/>
      </c>
      <c r="BU181" s="401">
        <f>IF(ISBLANK(Actuals!BV91),-290*Escalation!$B$70,Actuals!BV91)</f>
        <v/>
      </c>
      <c r="BV181" s="401">
        <f>IF(ISBLANK(Actuals!BW91),-290*Escalation!$B$71,Actuals!BW91)</f>
        <v/>
      </c>
      <c r="BW181" s="401">
        <f>IF(ISBLANK(Actuals!BX91),-290*Escalation!$B$72,Actuals!BX91)</f>
        <v/>
      </c>
      <c r="BX181" s="401">
        <f>IF(ISBLANK(Actuals!BY91),-290*Escalation!$B$73,Actuals!BY91)</f>
        <v/>
      </c>
      <c r="BY181" s="401">
        <f>IF(ISBLANK(Actuals!BZ91),-290*Escalation!$B$74,Actuals!BZ91)</f>
        <v/>
      </c>
      <c r="BZ181" s="401">
        <f>IF(ISBLANK(Actuals!CA91),-290*Escalation!$B$75,Actuals!CA91)</f>
        <v/>
      </c>
      <c r="CA181" s="401">
        <f>IF(ISBLANK(Actuals!CB91),-290*Escalation!$B$76,Actuals!CB91)</f>
        <v/>
      </c>
      <c r="CB181" s="401">
        <f>IF(ISBLANK(Actuals!CC91),-290*Escalation!$B$77,Actuals!CC91)</f>
        <v/>
      </c>
      <c r="CC181" s="401">
        <f>IF(ISBLANK(Actuals!CD91),-290*Escalation!$B$78,Actuals!CD91)</f>
        <v/>
      </c>
      <c r="CD181" s="401">
        <f>IF(ISBLANK(Actuals!CE91),-290*Escalation!$B$79,Actuals!CE91)</f>
        <v/>
      </c>
      <c r="CE181" s="401">
        <f>IF(ISBLANK(Actuals!CF91),-290*Escalation!$B$80,Actuals!CF91)</f>
        <v/>
      </c>
      <c r="CF181" s="401">
        <f>IF(ISBLANK(Actuals!CG91),-290*Escalation!$B$81,Actuals!CG91)</f>
        <v/>
      </c>
      <c r="CG181" s="401">
        <f>IF(ISBLANK(Actuals!CH91),-290*Escalation!$B$82,Actuals!CH91)</f>
        <v/>
      </c>
      <c r="CH181" s="401">
        <f>IF(ISBLANK(Actuals!CI91),-290*Escalation!$B$83,Actuals!CI91)</f>
        <v/>
      </c>
      <c r="CI181" s="401">
        <f>IF(ISBLANK(Actuals!CJ91),-290*Escalation!$B$84,Actuals!CJ91)</f>
        <v/>
      </c>
      <c r="CJ181" s="401">
        <f>IF(ISBLANK(Actuals!CK91),-290*Escalation!$B$85,Actuals!CK91)</f>
        <v/>
      </c>
      <c r="CK181" s="401">
        <f>IF(ISBLANK(Actuals!CL91),-290*Escalation!$B$86,Actuals!CL91)</f>
        <v/>
      </c>
      <c r="CL181" s="401">
        <f>IF(ISBLANK(Actuals!CM91),-290*Escalation!$B$87,Actuals!CM91)</f>
        <v/>
      </c>
      <c r="CM181" s="401">
        <f>IF(ISBLANK(Actuals!CN91),-290*Escalation!$B$88,Actuals!CN91)</f>
        <v/>
      </c>
      <c r="CN181" s="401">
        <f>IF(ISBLANK(Actuals!CO91),-290*Escalation!$B$89,Actuals!CO91)</f>
        <v/>
      </c>
      <c r="CO181" s="401">
        <f>IF(ISBLANK(Actuals!CP91),-290*Escalation!$B$90,Actuals!CP91)</f>
        <v/>
      </c>
      <c r="CP181" s="401">
        <f>IF(ISBLANK(Actuals!CQ91),-290*Escalation!$B$91,Actuals!CQ91)</f>
        <v/>
      </c>
      <c r="CQ181" s="401">
        <f>IF(ISBLANK(Actuals!CR91),-290*Escalation!$B$92,Actuals!CR91)</f>
        <v/>
      </c>
      <c r="CR181" s="401">
        <f>IF(ISBLANK(Actuals!CS91),-290*Escalation!$B$93,Actuals!CS91)</f>
        <v/>
      </c>
      <c r="CS181" s="401">
        <f>IF(ISBLANK(Actuals!CT91),-290*Escalation!$B$94,Actuals!CT91)</f>
        <v/>
      </c>
      <c r="CT181" s="401">
        <f>IF(ISBLANK(Actuals!CU91),-290*Escalation!$B$95,Actuals!CU91)</f>
        <v/>
      </c>
      <c r="CU181" s="401">
        <f>IF(ISBLANK(Actuals!CV91),-290*Escalation!$B$96,Actuals!CV91)</f>
        <v/>
      </c>
      <c r="CV181" s="401">
        <f>IF(ISBLANK(Actuals!CW91),-290*Escalation!$B$97,Actuals!CW91)</f>
        <v/>
      </c>
      <c r="CW181" s="401">
        <f>IF(ISBLANK(Actuals!CX91),-290*Escalation!$B$98,Actuals!CX91)</f>
        <v/>
      </c>
      <c r="CX181" s="401">
        <f>IF(ISBLANK(Actuals!CY91),-290*Escalation!$B$99,Actuals!CY91)</f>
        <v/>
      </c>
      <c r="CY181" s="401">
        <f>IF(ISBLANK(Actuals!CZ91),-290*Escalation!$B$100,Actuals!CZ91)</f>
        <v/>
      </c>
      <c r="CZ181" s="401">
        <f>IF(ISBLANK(Actuals!DA91),-290*Escalation!$B$101,Actuals!DA91)</f>
        <v/>
      </c>
      <c r="DA181" s="401">
        <f>IF(ISBLANK(Actuals!DB91),-290*Escalation!$B$102,Actuals!DB91)</f>
        <v/>
      </c>
      <c r="DB181" s="401">
        <f>IF(ISBLANK(Actuals!DC91),-290*Escalation!$B$103,Actuals!DC91)</f>
        <v/>
      </c>
      <c r="DC181" s="401">
        <f>IF(ISBLANK(Actuals!DD91),-290*Escalation!$B$104,Actuals!DD91)</f>
        <v/>
      </c>
      <c r="DD181" s="401">
        <f>IF(ISBLANK(Actuals!DE91),-290*Escalation!$B$105,Actuals!DE91)</f>
        <v/>
      </c>
      <c r="DE181" s="401">
        <f>IF(ISBLANK(Actuals!DF91),-290*Escalation!$B$106,Actuals!DF91)</f>
        <v/>
      </c>
    </row>
    <row r="182" ht="15" customFormat="1" customHeight="1" s="380">
      <c r="A182" s="415" t="inlineStr">
        <is>
          <t>5200-1061 Website Hosting</t>
        </is>
      </c>
      <c r="B182" s="401">
        <f>IF(ISBLANK(Actuals!C92),0,Actuals!C92)</f>
        <v/>
      </c>
      <c r="C182" s="401">
        <f>IF(ISBLANK(Actuals!D92),0,Actuals!D92)</f>
        <v/>
      </c>
      <c r="D182" s="401">
        <f>IF(ISBLANK(Actuals!E92),0,Actuals!E92)</f>
        <v/>
      </c>
      <c r="E182" s="401">
        <f>IF(ISBLANK(Actuals!F92),-245*Escalation!$B$2,Actuals!F92)</f>
        <v/>
      </c>
      <c r="F182" s="401">
        <f>IF(ISBLANK(Actuals!G92),-245*Escalation!$B$3,Actuals!G92)</f>
        <v/>
      </c>
      <c r="G182" s="401">
        <f>IF(ISBLANK(Actuals!H92),-245*Escalation!$B$4,Actuals!H92)</f>
        <v/>
      </c>
      <c r="H182" s="401">
        <f>IF(ISBLANK(Actuals!I92),-245*Escalation!$B$5,Actuals!I92)</f>
        <v/>
      </c>
      <c r="I182" s="401">
        <f>IF(ISBLANK(Actuals!J92),-245*Escalation!$B$6,Actuals!J92)</f>
        <v/>
      </c>
      <c r="J182" s="401">
        <f>IF(ISBLANK(Actuals!K92),-245*Escalation!$B$7,Actuals!K92)</f>
        <v/>
      </c>
      <c r="K182" s="401">
        <f>IF(ISBLANK(Actuals!L92),-245*Escalation!$B$8,Actuals!L92)</f>
        <v/>
      </c>
      <c r="L182" s="401">
        <f>IF(ISBLANK(Actuals!M92),-245*Escalation!$B$9,Actuals!M92)</f>
        <v/>
      </c>
      <c r="M182" s="401">
        <f>IF(ISBLANK(Actuals!N92),-245*Escalation!$B$10,Actuals!N92)</f>
        <v/>
      </c>
      <c r="N182" s="401">
        <f>IF(ISBLANK(Actuals!O92),-245*Escalation!$B$11,Actuals!O92)</f>
        <v/>
      </c>
      <c r="O182" s="401">
        <f>IF(ISBLANK(Actuals!P92),-245*Escalation!$B$12,Actuals!P92)</f>
        <v/>
      </c>
      <c r="P182" s="401">
        <f>IF(ISBLANK(Actuals!Q92),-245*Escalation!$B$13,Actuals!Q92)</f>
        <v/>
      </c>
      <c r="Q182" s="401">
        <f>IF(ISBLANK(Actuals!R92),-245*Escalation!$B$14,Actuals!R92)</f>
        <v/>
      </c>
      <c r="R182" s="401">
        <f>IF(ISBLANK(Actuals!S92),-245*Escalation!$B$15,Actuals!S92)</f>
        <v/>
      </c>
      <c r="S182" s="401">
        <f>IF(ISBLANK(Actuals!T92),-245*Escalation!$B$16,Actuals!T92)</f>
        <v/>
      </c>
      <c r="T182" s="401">
        <f>IF(ISBLANK(Actuals!U92),-245*Escalation!$B$17,Actuals!U92)</f>
        <v/>
      </c>
      <c r="U182" s="401">
        <f>IF(ISBLANK(Actuals!V92),-245*Escalation!$B$18,Actuals!V92)</f>
        <v/>
      </c>
      <c r="V182" s="401">
        <f>IF(ISBLANK(Actuals!W92),-245*Escalation!$B$19,Actuals!W92)</f>
        <v/>
      </c>
      <c r="W182" s="401">
        <f>IF(ISBLANK(Actuals!X92),-245*Escalation!$B$20,Actuals!X92)</f>
        <v/>
      </c>
      <c r="X182" s="401">
        <f>IF(ISBLANK(Actuals!Y92),-245*Escalation!$B$21,Actuals!Y92)</f>
        <v/>
      </c>
      <c r="Y182" s="401">
        <f>IF(ISBLANK(Actuals!Z92),-245*Escalation!$B$22,Actuals!Z92)</f>
        <v/>
      </c>
      <c r="Z182" s="401">
        <f>IF(ISBLANK(Actuals!AA92),-245*Escalation!$B$23,Actuals!AA92)</f>
        <v/>
      </c>
      <c r="AA182" s="401">
        <f>IF(ISBLANK(Actuals!AB92),-245*Escalation!$B$24,Actuals!AB92)</f>
        <v/>
      </c>
      <c r="AB182" s="401">
        <f>IF(ISBLANK(Actuals!AC92),-245*Escalation!$B$25,Actuals!AC92)</f>
        <v/>
      </c>
      <c r="AC182" s="401">
        <f>IF(ISBLANK(Actuals!AD92),-245*Escalation!$B$26,Actuals!AD92)</f>
        <v/>
      </c>
      <c r="AD182" s="401">
        <f>IF(ISBLANK(Actuals!AE92),-245*Escalation!$B$27,Actuals!AE92)</f>
        <v/>
      </c>
      <c r="AE182" s="401">
        <f>IF(ISBLANK(Actuals!AF92),-245*Escalation!$B$28,Actuals!AF92)</f>
        <v/>
      </c>
      <c r="AF182" s="401">
        <f>IF(ISBLANK(Actuals!AG92),-245*Escalation!$B$29,Actuals!AG92)</f>
        <v/>
      </c>
      <c r="AG182" s="401">
        <f>IF(ISBLANK(Actuals!AH92),-245*Escalation!$B$30,Actuals!AH92)</f>
        <v/>
      </c>
      <c r="AH182" s="401">
        <f>IF(ISBLANK(Actuals!AI92),-245*Escalation!$B$31,Actuals!AI92)</f>
        <v/>
      </c>
      <c r="AI182" s="401">
        <f>IF(ISBLANK(Actuals!AJ92),-245*Escalation!$B$32,Actuals!AJ92)</f>
        <v/>
      </c>
      <c r="AJ182" s="401">
        <f>IF(ISBLANK(Actuals!AK92),-245*Escalation!$B$33,Actuals!AK92)</f>
        <v/>
      </c>
      <c r="AK182" s="401">
        <f>IF(ISBLANK(Actuals!AL92),-245*Escalation!$B$34,Actuals!AL92)</f>
        <v/>
      </c>
      <c r="AL182" s="401">
        <f>IF(ISBLANK(Actuals!AM92),-245*Escalation!$B$35,Actuals!AM92)</f>
        <v/>
      </c>
      <c r="AM182" s="401">
        <f>IF(ISBLANK(Actuals!AN92),-245*Escalation!$B$36,Actuals!AN92)</f>
        <v/>
      </c>
      <c r="AN182" s="401">
        <f>IF(ISBLANK(Actuals!AO92),-245*Escalation!$B$37,Actuals!AO92)</f>
        <v/>
      </c>
      <c r="AO182" s="401">
        <f>IF(ISBLANK(Actuals!AP92),-245*Escalation!$B$38,Actuals!AP92)</f>
        <v/>
      </c>
      <c r="AP182" s="401">
        <f>IF(ISBLANK(Actuals!AQ92),-245*Escalation!$B$39,Actuals!AQ92)</f>
        <v/>
      </c>
      <c r="AQ182" s="401">
        <f>IF(ISBLANK(Actuals!AR92),-245*Escalation!$B$40,Actuals!AR92)</f>
        <v/>
      </c>
      <c r="AR182" s="401">
        <f>IF(ISBLANK(Actuals!AS92),-245*Escalation!$B$41,Actuals!AS92)</f>
        <v/>
      </c>
      <c r="AS182" s="401">
        <f>IF(ISBLANK(Actuals!AT92),-245*Escalation!$B$42,Actuals!AT92)</f>
        <v/>
      </c>
      <c r="AT182" s="401">
        <f>IF(ISBLANK(Actuals!AU92),-245*Escalation!$B$43,Actuals!AU92)</f>
        <v/>
      </c>
      <c r="AU182" s="401">
        <f>IF(ISBLANK(Actuals!AV92),-245*Escalation!$B$44,Actuals!AV92)</f>
        <v/>
      </c>
      <c r="AV182" s="401">
        <f>IF(ISBLANK(Actuals!AW92),-245*Escalation!$B$45,Actuals!AW92)</f>
        <v/>
      </c>
      <c r="AW182" s="401">
        <f>IF(ISBLANK(Actuals!AX92),-245*Escalation!$B$46,Actuals!AX92)</f>
        <v/>
      </c>
      <c r="AX182" s="401">
        <f>IF(ISBLANK(Actuals!AY92),-245*Escalation!$B$47,Actuals!AY92)</f>
        <v/>
      </c>
      <c r="AY182" s="401">
        <f>IF(ISBLANK(Actuals!AZ92),-245*Escalation!$B$48,Actuals!AZ92)</f>
        <v/>
      </c>
      <c r="AZ182" s="401">
        <f>IF(ISBLANK(Actuals!BA92),-245*Escalation!$B$49,Actuals!BA92)</f>
        <v/>
      </c>
      <c r="BA182" s="401">
        <f>IF(ISBLANK(Actuals!BB92),-245*Escalation!$B$50,Actuals!BB92)</f>
        <v/>
      </c>
      <c r="BB182" s="401">
        <f>IF(ISBLANK(Actuals!BC92),-245*Escalation!$B$51,Actuals!BC92)</f>
        <v/>
      </c>
      <c r="BC182" s="401">
        <f>IF(ISBLANK(Actuals!BD92),-245*Escalation!$B$52,Actuals!BD92)</f>
        <v/>
      </c>
      <c r="BD182" s="401">
        <f>IF(ISBLANK(Actuals!BE92),-245*Escalation!$B$53,Actuals!BE92)</f>
        <v/>
      </c>
      <c r="BE182" s="401">
        <f>IF(ISBLANK(Actuals!BF92),-245*Escalation!$B$54,Actuals!BF92)</f>
        <v/>
      </c>
      <c r="BF182" s="401">
        <f>IF(ISBLANK(Actuals!BG92),-245*Escalation!$B$55,Actuals!BG92)</f>
        <v/>
      </c>
      <c r="BG182" s="401">
        <f>IF(ISBLANK(Actuals!BH92),-245*Escalation!$B$56,Actuals!BH92)</f>
        <v/>
      </c>
      <c r="BH182" s="401">
        <f>IF(ISBLANK(Actuals!BI92),-245*Escalation!$B$57,Actuals!BI92)</f>
        <v/>
      </c>
      <c r="BI182" s="401">
        <f>IF(ISBLANK(Actuals!BJ92),-245*Escalation!$B$58,Actuals!BJ92)</f>
        <v/>
      </c>
      <c r="BJ182" s="401">
        <f>IF(ISBLANK(Actuals!BK92),-245*Escalation!$B$59,Actuals!BK92)</f>
        <v/>
      </c>
      <c r="BK182" s="401">
        <f>IF(ISBLANK(Actuals!BL92),-245*Escalation!$B$60,Actuals!BL92)</f>
        <v/>
      </c>
      <c r="BL182" s="401">
        <f>IF(ISBLANK(Actuals!BM92),-245*Escalation!$B$61,Actuals!BM92)</f>
        <v/>
      </c>
      <c r="BM182" s="401">
        <f>IF(ISBLANK(Actuals!BN92),-245*Escalation!$B$62,Actuals!BN92)</f>
        <v/>
      </c>
      <c r="BN182" s="401">
        <f>IF(ISBLANK(Actuals!BO92),-245*Escalation!$B$63,Actuals!BO92)</f>
        <v/>
      </c>
      <c r="BO182" s="401">
        <f>IF(ISBLANK(Actuals!BP92),-245*Escalation!$B$64,Actuals!BP92)</f>
        <v/>
      </c>
      <c r="BP182" s="401">
        <f>IF(ISBLANK(Actuals!BQ92),-245*Escalation!$B$65,Actuals!BQ92)</f>
        <v/>
      </c>
      <c r="BQ182" s="401">
        <f>IF(ISBLANK(Actuals!BR92),-245*Escalation!$B$66,Actuals!BR92)</f>
        <v/>
      </c>
      <c r="BR182" s="401">
        <f>IF(ISBLANK(Actuals!BS92),-245*Escalation!$B$67,Actuals!BS92)</f>
        <v/>
      </c>
      <c r="BS182" s="401">
        <f>IF(ISBLANK(Actuals!BT92),-245*Escalation!$B$68,Actuals!BT92)</f>
        <v/>
      </c>
      <c r="BT182" s="401">
        <f>IF(ISBLANK(Actuals!BU92),-245*Escalation!$B$69,Actuals!BU92)</f>
        <v/>
      </c>
      <c r="BU182" s="401">
        <f>IF(ISBLANK(Actuals!BV92),-245*Escalation!$B$70,Actuals!BV92)</f>
        <v/>
      </c>
      <c r="BV182" s="401">
        <f>IF(ISBLANK(Actuals!BW92),-245*Escalation!$B$71,Actuals!BW92)</f>
        <v/>
      </c>
      <c r="BW182" s="401">
        <f>IF(ISBLANK(Actuals!BX92),-245*Escalation!$B$72,Actuals!BX92)</f>
        <v/>
      </c>
      <c r="BX182" s="401">
        <f>IF(ISBLANK(Actuals!BY92),-245*Escalation!$B$73,Actuals!BY92)</f>
        <v/>
      </c>
      <c r="BY182" s="401">
        <f>IF(ISBLANK(Actuals!BZ92),-245*Escalation!$B$74,Actuals!BZ92)</f>
        <v/>
      </c>
      <c r="BZ182" s="401">
        <f>IF(ISBLANK(Actuals!CA92),-245*Escalation!$B$75,Actuals!CA92)</f>
        <v/>
      </c>
      <c r="CA182" s="401">
        <f>IF(ISBLANK(Actuals!CB92),-245*Escalation!$B$76,Actuals!CB92)</f>
        <v/>
      </c>
      <c r="CB182" s="401">
        <f>IF(ISBLANK(Actuals!CC92),-245*Escalation!$B$77,Actuals!CC92)</f>
        <v/>
      </c>
      <c r="CC182" s="401">
        <f>IF(ISBLANK(Actuals!CD92),-245*Escalation!$B$78,Actuals!CD92)</f>
        <v/>
      </c>
      <c r="CD182" s="401">
        <f>IF(ISBLANK(Actuals!CE92),-245*Escalation!$B$79,Actuals!CE92)</f>
        <v/>
      </c>
      <c r="CE182" s="401">
        <f>IF(ISBLANK(Actuals!CF92),-245*Escalation!$B$80,Actuals!CF92)</f>
        <v/>
      </c>
      <c r="CF182" s="401">
        <f>IF(ISBLANK(Actuals!CG92),-245*Escalation!$B$81,Actuals!CG92)</f>
        <v/>
      </c>
      <c r="CG182" s="401">
        <f>IF(ISBLANK(Actuals!CH92),-245*Escalation!$B$82,Actuals!CH92)</f>
        <v/>
      </c>
      <c r="CH182" s="401">
        <f>IF(ISBLANK(Actuals!CI92),-245*Escalation!$B$83,Actuals!CI92)</f>
        <v/>
      </c>
      <c r="CI182" s="401">
        <f>IF(ISBLANK(Actuals!CJ92),-245*Escalation!$B$84,Actuals!CJ92)</f>
        <v/>
      </c>
      <c r="CJ182" s="401">
        <f>IF(ISBLANK(Actuals!CK92),-245*Escalation!$B$85,Actuals!CK92)</f>
        <v/>
      </c>
      <c r="CK182" s="401">
        <f>IF(ISBLANK(Actuals!CL92),-245*Escalation!$B$86,Actuals!CL92)</f>
        <v/>
      </c>
      <c r="CL182" s="401">
        <f>IF(ISBLANK(Actuals!CM92),-245*Escalation!$B$87,Actuals!CM92)</f>
        <v/>
      </c>
      <c r="CM182" s="401">
        <f>IF(ISBLANK(Actuals!CN92),-245*Escalation!$B$88,Actuals!CN92)</f>
        <v/>
      </c>
      <c r="CN182" s="401">
        <f>IF(ISBLANK(Actuals!CO92),-245*Escalation!$B$89,Actuals!CO92)</f>
        <v/>
      </c>
      <c r="CO182" s="401">
        <f>IF(ISBLANK(Actuals!CP92),-245*Escalation!$B$90,Actuals!CP92)</f>
        <v/>
      </c>
      <c r="CP182" s="401">
        <f>IF(ISBLANK(Actuals!CQ92),-245*Escalation!$B$91,Actuals!CQ92)</f>
        <v/>
      </c>
      <c r="CQ182" s="401">
        <f>IF(ISBLANK(Actuals!CR92),-245*Escalation!$B$92,Actuals!CR92)</f>
        <v/>
      </c>
      <c r="CR182" s="401">
        <f>IF(ISBLANK(Actuals!CS92),-245*Escalation!$B$93,Actuals!CS92)</f>
        <v/>
      </c>
      <c r="CS182" s="401">
        <f>IF(ISBLANK(Actuals!CT92),-245*Escalation!$B$94,Actuals!CT92)</f>
        <v/>
      </c>
      <c r="CT182" s="401">
        <f>IF(ISBLANK(Actuals!CU92),-245*Escalation!$B$95,Actuals!CU92)</f>
        <v/>
      </c>
      <c r="CU182" s="401">
        <f>IF(ISBLANK(Actuals!CV92),-245*Escalation!$B$96,Actuals!CV92)</f>
        <v/>
      </c>
      <c r="CV182" s="401">
        <f>IF(ISBLANK(Actuals!CW92),-245*Escalation!$B$97,Actuals!CW92)</f>
        <v/>
      </c>
      <c r="CW182" s="401">
        <f>IF(ISBLANK(Actuals!CX92),-245*Escalation!$B$98,Actuals!CX92)</f>
        <v/>
      </c>
      <c r="CX182" s="401">
        <f>IF(ISBLANK(Actuals!CY92),-245*Escalation!$B$99,Actuals!CY92)</f>
        <v/>
      </c>
      <c r="CY182" s="401">
        <f>IF(ISBLANK(Actuals!CZ92),-245*Escalation!$B$100,Actuals!CZ92)</f>
        <v/>
      </c>
      <c r="CZ182" s="401">
        <f>IF(ISBLANK(Actuals!DA92),-245*Escalation!$B$101,Actuals!DA92)</f>
        <v/>
      </c>
      <c r="DA182" s="401">
        <f>IF(ISBLANK(Actuals!DB92),-245*Escalation!$B$102,Actuals!DB92)</f>
        <v/>
      </c>
      <c r="DB182" s="401">
        <f>IF(ISBLANK(Actuals!DC92),-245*Escalation!$B$103,Actuals!DC92)</f>
        <v/>
      </c>
      <c r="DC182" s="401">
        <f>IF(ISBLANK(Actuals!DD92),-245*Escalation!$B$104,Actuals!DD92)</f>
        <v/>
      </c>
      <c r="DD182" s="401">
        <f>IF(ISBLANK(Actuals!DE92),-245*Escalation!$B$105,Actuals!DE92)</f>
        <v/>
      </c>
      <c r="DE182" s="401">
        <f>IF(ISBLANK(Actuals!DF92),-245*Escalation!$B$106,Actuals!DF92)</f>
        <v/>
      </c>
    </row>
    <row r="183" ht="15" customFormat="1" customHeight="1" s="380">
      <c r="A183" s="415" t="inlineStr">
        <is>
          <t>5300-1000 Travel and Lodging</t>
        </is>
      </c>
      <c r="B183" s="401">
        <f>IF(ISBLANK(Actuals!C93),0,Actuals!C93)</f>
        <v/>
      </c>
      <c r="C183" s="401">
        <f>IF(ISBLANK(Actuals!D93),0,Actuals!D93)</f>
        <v/>
      </c>
      <c r="D183" s="401">
        <f>IF(ISBLANK(Actuals!E93),0,Actuals!E93)</f>
        <v/>
      </c>
      <c r="E183" s="401">
        <f>IF(ISBLANK(Actuals!F93),-1179.5*Escalation!$B$2,Actuals!F93)</f>
        <v/>
      </c>
      <c r="F183" s="401">
        <f>IF(ISBLANK(Actuals!G93),-1179.5*Escalation!$B$3,Actuals!G93)</f>
        <v/>
      </c>
      <c r="G183" s="401">
        <f>IF(ISBLANK(Actuals!H93),-1179.5*Escalation!$B$4,Actuals!H93)</f>
        <v/>
      </c>
      <c r="H183" s="401">
        <f>IF(ISBLANK(Actuals!I93),-1179.5*Escalation!$B$5,Actuals!I93)</f>
        <v/>
      </c>
      <c r="I183" s="401">
        <f>IF(ISBLANK(Actuals!J93),-1179.5*Escalation!$B$6,Actuals!J93)</f>
        <v/>
      </c>
      <c r="J183" s="401">
        <f>IF(ISBLANK(Actuals!K93),-1179.5*Escalation!$B$7,Actuals!K93)</f>
        <v/>
      </c>
      <c r="K183" s="401">
        <f>IF(ISBLANK(Actuals!L93),-1179.5*Escalation!$B$8,Actuals!L93)</f>
        <v/>
      </c>
      <c r="L183" s="401">
        <f>IF(ISBLANK(Actuals!M93),-1179.5*Escalation!$B$9,Actuals!M93)</f>
        <v/>
      </c>
      <c r="M183" s="401">
        <f>IF(ISBLANK(Actuals!N93),-1179.5*Escalation!$B$10,Actuals!N93)</f>
        <v/>
      </c>
      <c r="N183" s="401">
        <f>IF(ISBLANK(Actuals!O93),-1179.5*Escalation!$B$11,Actuals!O93)</f>
        <v/>
      </c>
      <c r="O183" s="401">
        <f>IF(ISBLANK(Actuals!P93),-1179.5*Escalation!$B$12,Actuals!P93)</f>
        <v/>
      </c>
      <c r="P183" s="401">
        <f>IF(ISBLANK(Actuals!Q93),-1179.5*Escalation!$B$13,Actuals!Q93)</f>
        <v/>
      </c>
      <c r="Q183" s="401">
        <f>IF(ISBLANK(Actuals!R93),-1179.5*Escalation!$B$14,Actuals!R93)</f>
        <v/>
      </c>
      <c r="R183" s="401">
        <f>IF(ISBLANK(Actuals!S93),-1179.5*Escalation!$B$15,Actuals!S93)</f>
        <v/>
      </c>
      <c r="S183" s="401">
        <f>IF(ISBLANK(Actuals!T93),-1179.5*Escalation!$B$16,Actuals!T93)</f>
        <v/>
      </c>
      <c r="T183" s="401">
        <f>IF(ISBLANK(Actuals!U93),-1179.5*Escalation!$B$17,Actuals!U93)</f>
        <v/>
      </c>
      <c r="U183" s="401">
        <f>IF(ISBLANK(Actuals!V93),-1179.5*Escalation!$B$18,Actuals!V93)</f>
        <v/>
      </c>
      <c r="V183" s="401">
        <f>IF(ISBLANK(Actuals!W93),-1179.5*Escalation!$B$19,Actuals!W93)</f>
        <v/>
      </c>
      <c r="W183" s="401">
        <f>IF(ISBLANK(Actuals!X93),-1179.5*Escalation!$B$20,Actuals!X93)</f>
        <v/>
      </c>
      <c r="X183" s="401">
        <f>IF(ISBLANK(Actuals!Y93),-1179.5*Escalation!$B$21,Actuals!Y93)</f>
        <v/>
      </c>
      <c r="Y183" s="401">
        <f>IF(ISBLANK(Actuals!Z93),-1179.5*Escalation!$B$22,Actuals!Z93)</f>
        <v/>
      </c>
      <c r="Z183" s="401">
        <f>IF(ISBLANK(Actuals!AA93),-1179.5*Escalation!$B$23,Actuals!AA93)</f>
        <v/>
      </c>
      <c r="AA183" s="401">
        <f>IF(ISBLANK(Actuals!AB93),-1179.5*Escalation!$B$24,Actuals!AB93)</f>
        <v/>
      </c>
      <c r="AB183" s="401">
        <f>IF(ISBLANK(Actuals!AC93),-1179.5*Escalation!$B$25,Actuals!AC93)</f>
        <v/>
      </c>
      <c r="AC183" s="401">
        <f>IF(ISBLANK(Actuals!AD93),-1179.5*Escalation!$B$26,Actuals!AD93)</f>
        <v/>
      </c>
      <c r="AD183" s="401">
        <f>IF(ISBLANK(Actuals!AE93),-1179.5*Escalation!$B$27,Actuals!AE93)</f>
        <v/>
      </c>
      <c r="AE183" s="401">
        <f>IF(ISBLANK(Actuals!AF93),-1179.5*Escalation!$B$28,Actuals!AF93)</f>
        <v/>
      </c>
      <c r="AF183" s="401">
        <f>IF(ISBLANK(Actuals!AG93),-1179.5*Escalation!$B$29,Actuals!AG93)</f>
        <v/>
      </c>
      <c r="AG183" s="401">
        <f>IF(ISBLANK(Actuals!AH93),-1179.5*Escalation!$B$30,Actuals!AH93)</f>
        <v/>
      </c>
      <c r="AH183" s="401">
        <f>IF(ISBLANK(Actuals!AI93),-1179.5*Escalation!$B$31,Actuals!AI93)</f>
        <v/>
      </c>
      <c r="AI183" s="401">
        <f>IF(ISBLANK(Actuals!AJ93),-1179.5*Escalation!$B$32,Actuals!AJ93)</f>
        <v/>
      </c>
      <c r="AJ183" s="401">
        <f>IF(ISBLANK(Actuals!AK93),-1179.5*Escalation!$B$33,Actuals!AK93)</f>
        <v/>
      </c>
      <c r="AK183" s="401">
        <f>IF(ISBLANK(Actuals!AL93),-1179.5*Escalation!$B$34,Actuals!AL93)</f>
        <v/>
      </c>
      <c r="AL183" s="401">
        <f>IF(ISBLANK(Actuals!AM93),-1179.5*Escalation!$B$35,Actuals!AM93)</f>
        <v/>
      </c>
      <c r="AM183" s="401">
        <f>IF(ISBLANK(Actuals!AN93),-1179.5*Escalation!$B$36,Actuals!AN93)</f>
        <v/>
      </c>
      <c r="AN183" s="401">
        <f>IF(ISBLANK(Actuals!AO93),-1179.5*Escalation!$B$37,Actuals!AO93)</f>
        <v/>
      </c>
      <c r="AO183" s="401">
        <f>IF(ISBLANK(Actuals!AP93),-1179.5*Escalation!$B$38,Actuals!AP93)</f>
        <v/>
      </c>
      <c r="AP183" s="401">
        <f>IF(ISBLANK(Actuals!AQ93),-1179.5*Escalation!$B$39,Actuals!AQ93)</f>
        <v/>
      </c>
      <c r="AQ183" s="401">
        <f>IF(ISBLANK(Actuals!AR93),-1179.5*Escalation!$B$40,Actuals!AR93)</f>
        <v/>
      </c>
      <c r="AR183" s="401">
        <f>IF(ISBLANK(Actuals!AS93),-1179.5*Escalation!$B$41,Actuals!AS93)</f>
        <v/>
      </c>
      <c r="AS183" s="401">
        <f>IF(ISBLANK(Actuals!AT93),-1179.5*Escalation!$B$42,Actuals!AT93)</f>
        <v/>
      </c>
      <c r="AT183" s="401">
        <f>IF(ISBLANK(Actuals!AU93),-1179.5*Escalation!$B$43,Actuals!AU93)</f>
        <v/>
      </c>
      <c r="AU183" s="401">
        <f>IF(ISBLANK(Actuals!AV93),-1179.5*Escalation!$B$44,Actuals!AV93)</f>
        <v/>
      </c>
      <c r="AV183" s="401">
        <f>IF(ISBLANK(Actuals!AW93),-1179.5*Escalation!$B$45,Actuals!AW93)</f>
        <v/>
      </c>
      <c r="AW183" s="401">
        <f>IF(ISBLANK(Actuals!AX93),-1179.5*Escalation!$B$46,Actuals!AX93)</f>
        <v/>
      </c>
      <c r="AX183" s="401">
        <f>IF(ISBLANK(Actuals!AY93),-1179.5*Escalation!$B$47,Actuals!AY93)</f>
        <v/>
      </c>
      <c r="AY183" s="401">
        <f>IF(ISBLANK(Actuals!AZ93),-1179.5*Escalation!$B$48,Actuals!AZ93)</f>
        <v/>
      </c>
      <c r="AZ183" s="401">
        <f>IF(ISBLANK(Actuals!BA93),-1179.5*Escalation!$B$49,Actuals!BA93)</f>
        <v/>
      </c>
      <c r="BA183" s="401">
        <f>IF(ISBLANK(Actuals!BB93),-1179.5*Escalation!$B$50,Actuals!BB93)</f>
        <v/>
      </c>
      <c r="BB183" s="401">
        <f>IF(ISBLANK(Actuals!BC93),-1179.5*Escalation!$B$51,Actuals!BC93)</f>
        <v/>
      </c>
      <c r="BC183" s="401">
        <f>IF(ISBLANK(Actuals!BD93),-1179.5*Escalation!$B$52,Actuals!BD93)</f>
        <v/>
      </c>
      <c r="BD183" s="401">
        <f>IF(ISBLANK(Actuals!BE93),-1179.5*Escalation!$B$53,Actuals!BE93)</f>
        <v/>
      </c>
      <c r="BE183" s="401">
        <f>IF(ISBLANK(Actuals!BF93),-1179.5*Escalation!$B$54,Actuals!BF93)</f>
        <v/>
      </c>
      <c r="BF183" s="401">
        <f>IF(ISBLANK(Actuals!BG93),-1179.5*Escalation!$B$55,Actuals!BG93)</f>
        <v/>
      </c>
      <c r="BG183" s="401">
        <f>IF(ISBLANK(Actuals!BH93),-1179.5*Escalation!$B$56,Actuals!BH93)</f>
        <v/>
      </c>
      <c r="BH183" s="401">
        <f>IF(ISBLANK(Actuals!BI93),-1179.5*Escalation!$B$57,Actuals!BI93)</f>
        <v/>
      </c>
      <c r="BI183" s="401">
        <f>IF(ISBLANK(Actuals!BJ93),-1179.5*Escalation!$B$58,Actuals!BJ93)</f>
        <v/>
      </c>
      <c r="BJ183" s="401">
        <f>IF(ISBLANK(Actuals!BK93),-1179.5*Escalation!$B$59,Actuals!BK93)</f>
        <v/>
      </c>
      <c r="BK183" s="401">
        <f>IF(ISBLANK(Actuals!BL93),-1179.5*Escalation!$B$60,Actuals!BL93)</f>
        <v/>
      </c>
      <c r="BL183" s="401">
        <f>IF(ISBLANK(Actuals!BM93),-1179.5*Escalation!$B$61,Actuals!BM93)</f>
        <v/>
      </c>
      <c r="BM183" s="401">
        <f>IF(ISBLANK(Actuals!BN93),-1179.5*Escalation!$B$62,Actuals!BN93)</f>
        <v/>
      </c>
      <c r="BN183" s="401">
        <f>IF(ISBLANK(Actuals!BO93),-1179.5*Escalation!$B$63,Actuals!BO93)</f>
        <v/>
      </c>
      <c r="BO183" s="401">
        <f>IF(ISBLANK(Actuals!BP93),-1179.5*Escalation!$B$64,Actuals!BP93)</f>
        <v/>
      </c>
      <c r="BP183" s="401">
        <f>IF(ISBLANK(Actuals!BQ93),-1179.5*Escalation!$B$65,Actuals!BQ93)</f>
        <v/>
      </c>
      <c r="BQ183" s="401">
        <f>IF(ISBLANK(Actuals!BR93),-1179.5*Escalation!$B$66,Actuals!BR93)</f>
        <v/>
      </c>
      <c r="BR183" s="401">
        <f>IF(ISBLANK(Actuals!BS93),-1179.5*Escalation!$B$67,Actuals!BS93)</f>
        <v/>
      </c>
      <c r="BS183" s="401">
        <f>IF(ISBLANK(Actuals!BT93),-1179.5*Escalation!$B$68,Actuals!BT93)</f>
        <v/>
      </c>
      <c r="BT183" s="401">
        <f>IF(ISBLANK(Actuals!BU93),-1179.5*Escalation!$B$69,Actuals!BU93)</f>
        <v/>
      </c>
      <c r="BU183" s="401">
        <f>IF(ISBLANK(Actuals!BV93),-1179.5*Escalation!$B$70,Actuals!BV93)</f>
        <v/>
      </c>
      <c r="BV183" s="401">
        <f>IF(ISBLANK(Actuals!BW93),-1179.5*Escalation!$B$71,Actuals!BW93)</f>
        <v/>
      </c>
      <c r="BW183" s="401">
        <f>IF(ISBLANK(Actuals!BX93),-1179.5*Escalation!$B$72,Actuals!BX93)</f>
        <v/>
      </c>
      <c r="BX183" s="401">
        <f>IF(ISBLANK(Actuals!BY93),-1179.5*Escalation!$B$73,Actuals!BY93)</f>
        <v/>
      </c>
      <c r="BY183" s="401">
        <f>IF(ISBLANK(Actuals!BZ93),-1179.5*Escalation!$B$74,Actuals!BZ93)</f>
        <v/>
      </c>
      <c r="BZ183" s="401">
        <f>IF(ISBLANK(Actuals!CA93),-1179.5*Escalation!$B$75,Actuals!CA93)</f>
        <v/>
      </c>
      <c r="CA183" s="401">
        <f>IF(ISBLANK(Actuals!CB93),-1179.5*Escalation!$B$76,Actuals!CB93)</f>
        <v/>
      </c>
      <c r="CB183" s="401">
        <f>IF(ISBLANK(Actuals!CC93),-1179.5*Escalation!$B$77,Actuals!CC93)</f>
        <v/>
      </c>
      <c r="CC183" s="401">
        <f>IF(ISBLANK(Actuals!CD93),-1179.5*Escalation!$B$78,Actuals!CD93)</f>
        <v/>
      </c>
      <c r="CD183" s="401">
        <f>IF(ISBLANK(Actuals!CE93),-1179.5*Escalation!$B$79,Actuals!CE93)</f>
        <v/>
      </c>
      <c r="CE183" s="401">
        <f>IF(ISBLANK(Actuals!CF93),-1179.5*Escalation!$B$80,Actuals!CF93)</f>
        <v/>
      </c>
      <c r="CF183" s="401">
        <f>IF(ISBLANK(Actuals!CG93),-1179.5*Escalation!$B$81,Actuals!CG93)</f>
        <v/>
      </c>
      <c r="CG183" s="401">
        <f>IF(ISBLANK(Actuals!CH93),-1179.5*Escalation!$B$82,Actuals!CH93)</f>
        <v/>
      </c>
      <c r="CH183" s="401">
        <f>IF(ISBLANK(Actuals!CI93),-1179.5*Escalation!$B$83,Actuals!CI93)</f>
        <v/>
      </c>
      <c r="CI183" s="401">
        <f>IF(ISBLANK(Actuals!CJ93),-1179.5*Escalation!$B$84,Actuals!CJ93)</f>
        <v/>
      </c>
      <c r="CJ183" s="401">
        <f>IF(ISBLANK(Actuals!CK93),-1179.5*Escalation!$B$85,Actuals!CK93)</f>
        <v/>
      </c>
      <c r="CK183" s="401">
        <f>IF(ISBLANK(Actuals!CL93),-1179.5*Escalation!$B$86,Actuals!CL93)</f>
        <v/>
      </c>
      <c r="CL183" s="401">
        <f>IF(ISBLANK(Actuals!CM93),-1179.5*Escalation!$B$87,Actuals!CM93)</f>
        <v/>
      </c>
      <c r="CM183" s="401">
        <f>IF(ISBLANK(Actuals!CN93),-1179.5*Escalation!$B$88,Actuals!CN93)</f>
        <v/>
      </c>
      <c r="CN183" s="401">
        <f>IF(ISBLANK(Actuals!CO93),-1179.5*Escalation!$B$89,Actuals!CO93)</f>
        <v/>
      </c>
      <c r="CO183" s="401">
        <f>IF(ISBLANK(Actuals!CP93),-1179.5*Escalation!$B$90,Actuals!CP93)</f>
        <v/>
      </c>
      <c r="CP183" s="401">
        <f>IF(ISBLANK(Actuals!CQ93),-1179.5*Escalation!$B$91,Actuals!CQ93)</f>
        <v/>
      </c>
      <c r="CQ183" s="401">
        <f>IF(ISBLANK(Actuals!CR93),-1179.5*Escalation!$B$92,Actuals!CR93)</f>
        <v/>
      </c>
      <c r="CR183" s="401">
        <f>IF(ISBLANK(Actuals!CS93),-1179.5*Escalation!$B$93,Actuals!CS93)</f>
        <v/>
      </c>
      <c r="CS183" s="401">
        <f>IF(ISBLANK(Actuals!CT93),-1179.5*Escalation!$B$94,Actuals!CT93)</f>
        <v/>
      </c>
      <c r="CT183" s="401">
        <f>IF(ISBLANK(Actuals!CU93),-1179.5*Escalation!$B$95,Actuals!CU93)</f>
        <v/>
      </c>
      <c r="CU183" s="401">
        <f>IF(ISBLANK(Actuals!CV93),-1179.5*Escalation!$B$96,Actuals!CV93)</f>
        <v/>
      </c>
      <c r="CV183" s="401">
        <f>IF(ISBLANK(Actuals!CW93),-1179.5*Escalation!$B$97,Actuals!CW93)</f>
        <v/>
      </c>
      <c r="CW183" s="401">
        <f>IF(ISBLANK(Actuals!CX93),-1179.5*Escalation!$B$98,Actuals!CX93)</f>
        <v/>
      </c>
      <c r="CX183" s="401">
        <f>IF(ISBLANK(Actuals!CY93),-1179.5*Escalation!$B$99,Actuals!CY93)</f>
        <v/>
      </c>
      <c r="CY183" s="401">
        <f>IF(ISBLANK(Actuals!CZ93),-1179.5*Escalation!$B$100,Actuals!CZ93)</f>
        <v/>
      </c>
      <c r="CZ183" s="401">
        <f>IF(ISBLANK(Actuals!DA93),-1179.5*Escalation!$B$101,Actuals!DA93)</f>
        <v/>
      </c>
      <c r="DA183" s="401">
        <f>IF(ISBLANK(Actuals!DB93),-1179.5*Escalation!$B$102,Actuals!DB93)</f>
        <v/>
      </c>
      <c r="DB183" s="401">
        <f>IF(ISBLANK(Actuals!DC93),-1179.5*Escalation!$B$103,Actuals!DC93)</f>
        <v/>
      </c>
      <c r="DC183" s="401">
        <f>IF(ISBLANK(Actuals!DD93),-1179.5*Escalation!$B$104,Actuals!DD93)</f>
        <v/>
      </c>
      <c r="DD183" s="401">
        <f>IF(ISBLANK(Actuals!DE93),-1179.5*Escalation!$B$105,Actuals!DE93)</f>
        <v/>
      </c>
      <c r="DE183" s="401">
        <f>IF(ISBLANK(Actuals!DF93),-1179.5*Escalation!$B$106,Actuals!DF93)</f>
        <v/>
      </c>
    </row>
    <row r="184" ht="15" customFormat="1" customHeight="1" s="380">
      <c r="A184" s="415" t="inlineStr">
        <is>
          <t>5300-1001 Public Transportation</t>
        </is>
      </c>
      <c r="B184" s="401">
        <f>IF(ISBLANK(Actuals!C94),0,Actuals!C94)</f>
        <v/>
      </c>
      <c r="C184" s="401">
        <f>IF(ISBLANK(Actuals!D94),0,Actuals!D94)</f>
        <v/>
      </c>
      <c r="D184" s="401">
        <f>IF(ISBLANK(Actuals!E94),0,Actuals!E94)</f>
        <v/>
      </c>
      <c r="E184" s="401">
        <f>IF(ISBLANK(Actuals!F94),-366.3*Escalation!$B$2,Actuals!F94)</f>
        <v/>
      </c>
      <c r="F184" s="401">
        <f>IF(ISBLANK(Actuals!G94),-366.3*Escalation!$B$3,Actuals!G94)</f>
        <v/>
      </c>
      <c r="G184" s="401">
        <f>IF(ISBLANK(Actuals!H94),-366.3*Escalation!$B$4,Actuals!H94)</f>
        <v/>
      </c>
      <c r="H184" s="401">
        <f>IF(ISBLANK(Actuals!I94),-366.3*Escalation!$B$5,Actuals!I94)</f>
        <v/>
      </c>
      <c r="I184" s="401">
        <f>IF(ISBLANK(Actuals!J94),-366.3*Escalation!$B$6,Actuals!J94)</f>
        <v/>
      </c>
      <c r="J184" s="401">
        <f>IF(ISBLANK(Actuals!K94),-366.3*Escalation!$B$7,Actuals!K94)</f>
        <v/>
      </c>
      <c r="K184" s="401">
        <f>IF(ISBLANK(Actuals!L94),-366.3*Escalation!$B$8,Actuals!L94)</f>
        <v/>
      </c>
      <c r="L184" s="401">
        <f>IF(ISBLANK(Actuals!M94),-366.3*Escalation!$B$9,Actuals!M94)</f>
        <v/>
      </c>
      <c r="M184" s="401">
        <f>IF(ISBLANK(Actuals!N94),-366.3*Escalation!$B$10,Actuals!N94)</f>
        <v/>
      </c>
      <c r="N184" s="401">
        <f>IF(ISBLANK(Actuals!O94),-366.3*Escalation!$B$11,Actuals!O94)</f>
        <v/>
      </c>
      <c r="O184" s="401">
        <f>IF(ISBLANK(Actuals!P94),-366.3*Escalation!$B$12,Actuals!P94)</f>
        <v/>
      </c>
      <c r="P184" s="401">
        <f>IF(ISBLANK(Actuals!Q94),-366.3*Escalation!$B$13,Actuals!Q94)</f>
        <v/>
      </c>
      <c r="Q184" s="401">
        <f>IF(ISBLANK(Actuals!R94),-366.3*Escalation!$B$14,Actuals!R94)</f>
        <v/>
      </c>
      <c r="R184" s="401">
        <f>IF(ISBLANK(Actuals!S94),-366.3*Escalation!$B$15,Actuals!S94)</f>
        <v/>
      </c>
      <c r="S184" s="401">
        <f>IF(ISBLANK(Actuals!T94),-366.3*Escalation!$B$16,Actuals!T94)</f>
        <v/>
      </c>
      <c r="T184" s="401">
        <f>IF(ISBLANK(Actuals!U94),-366.3*Escalation!$B$17,Actuals!U94)</f>
        <v/>
      </c>
      <c r="U184" s="401">
        <f>IF(ISBLANK(Actuals!V94),-366.3*Escalation!$B$18,Actuals!V94)</f>
        <v/>
      </c>
      <c r="V184" s="401">
        <f>IF(ISBLANK(Actuals!W94),-366.3*Escalation!$B$19,Actuals!W94)</f>
        <v/>
      </c>
      <c r="W184" s="401">
        <f>IF(ISBLANK(Actuals!X94),-366.3*Escalation!$B$20,Actuals!X94)</f>
        <v/>
      </c>
      <c r="X184" s="401">
        <f>IF(ISBLANK(Actuals!Y94),-366.3*Escalation!$B$21,Actuals!Y94)</f>
        <v/>
      </c>
      <c r="Y184" s="401">
        <f>IF(ISBLANK(Actuals!Z94),-366.3*Escalation!$B$22,Actuals!Z94)</f>
        <v/>
      </c>
      <c r="Z184" s="401">
        <f>IF(ISBLANK(Actuals!AA94),-366.3*Escalation!$B$23,Actuals!AA94)</f>
        <v/>
      </c>
      <c r="AA184" s="401">
        <f>IF(ISBLANK(Actuals!AB94),-366.3*Escalation!$B$24,Actuals!AB94)</f>
        <v/>
      </c>
      <c r="AB184" s="401">
        <f>IF(ISBLANK(Actuals!AC94),-366.3*Escalation!$B$25,Actuals!AC94)</f>
        <v/>
      </c>
      <c r="AC184" s="401">
        <f>IF(ISBLANK(Actuals!AD94),-366.3*Escalation!$B$26,Actuals!AD94)</f>
        <v/>
      </c>
      <c r="AD184" s="401">
        <f>IF(ISBLANK(Actuals!AE94),-366.3*Escalation!$B$27,Actuals!AE94)</f>
        <v/>
      </c>
      <c r="AE184" s="401">
        <f>IF(ISBLANK(Actuals!AF94),-366.3*Escalation!$B$28,Actuals!AF94)</f>
        <v/>
      </c>
      <c r="AF184" s="401">
        <f>IF(ISBLANK(Actuals!AG94),-366.3*Escalation!$B$29,Actuals!AG94)</f>
        <v/>
      </c>
      <c r="AG184" s="401">
        <f>IF(ISBLANK(Actuals!AH94),-366.3*Escalation!$B$30,Actuals!AH94)</f>
        <v/>
      </c>
      <c r="AH184" s="401">
        <f>IF(ISBLANK(Actuals!AI94),-366.3*Escalation!$B$31,Actuals!AI94)</f>
        <v/>
      </c>
      <c r="AI184" s="401">
        <f>IF(ISBLANK(Actuals!AJ94),-366.3*Escalation!$B$32,Actuals!AJ94)</f>
        <v/>
      </c>
      <c r="AJ184" s="401">
        <f>IF(ISBLANK(Actuals!AK94),-366.3*Escalation!$B$33,Actuals!AK94)</f>
        <v/>
      </c>
      <c r="AK184" s="401">
        <f>IF(ISBLANK(Actuals!AL94),-366.3*Escalation!$B$34,Actuals!AL94)</f>
        <v/>
      </c>
      <c r="AL184" s="401">
        <f>IF(ISBLANK(Actuals!AM94),-366.3*Escalation!$B$35,Actuals!AM94)</f>
        <v/>
      </c>
      <c r="AM184" s="401">
        <f>IF(ISBLANK(Actuals!AN94),-366.3*Escalation!$B$36,Actuals!AN94)</f>
        <v/>
      </c>
      <c r="AN184" s="401">
        <f>IF(ISBLANK(Actuals!AO94),-366.3*Escalation!$B$37,Actuals!AO94)</f>
        <v/>
      </c>
      <c r="AO184" s="401">
        <f>IF(ISBLANK(Actuals!AP94),-366.3*Escalation!$B$38,Actuals!AP94)</f>
        <v/>
      </c>
      <c r="AP184" s="401">
        <f>IF(ISBLANK(Actuals!AQ94),-366.3*Escalation!$B$39,Actuals!AQ94)</f>
        <v/>
      </c>
      <c r="AQ184" s="401">
        <f>IF(ISBLANK(Actuals!AR94),-366.3*Escalation!$B$40,Actuals!AR94)</f>
        <v/>
      </c>
      <c r="AR184" s="401">
        <f>IF(ISBLANK(Actuals!AS94),-366.3*Escalation!$B$41,Actuals!AS94)</f>
        <v/>
      </c>
      <c r="AS184" s="401">
        <f>IF(ISBLANK(Actuals!AT94),-366.3*Escalation!$B$42,Actuals!AT94)</f>
        <v/>
      </c>
      <c r="AT184" s="401">
        <f>IF(ISBLANK(Actuals!AU94),-366.3*Escalation!$B$43,Actuals!AU94)</f>
        <v/>
      </c>
      <c r="AU184" s="401">
        <f>IF(ISBLANK(Actuals!AV94),-366.3*Escalation!$B$44,Actuals!AV94)</f>
        <v/>
      </c>
      <c r="AV184" s="401">
        <f>IF(ISBLANK(Actuals!AW94),-366.3*Escalation!$B$45,Actuals!AW94)</f>
        <v/>
      </c>
      <c r="AW184" s="401">
        <f>IF(ISBLANK(Actuals!AX94),-366.3*Escalation!$B$46,Actuals!AX94)</f>
        <v/>
      </c>
      <c r="AX184" s="401">
        <f>IF(ISBLANK(Actuals!AY94),-366.3*Escalation!$B$47,Actuals!AY94)</f>
        <v/>
      </c>
      <c r="AY184" s="401">
        <f>IF(ISBLANK(Actuals!AZ94),-366.3*Escalation!$B$48,Actuals!AZ94)</f>
        <v/>
      </c>
      <c r="AZ184" s="401">
        <f>IF(ISBLANK(Actuals!BA94),-366.3*Escalation!$B$49,Actuals!BA94)</f>
        <v/>
      </c>
      <c r="BA184" s="401">
        <f>IF(ISBLANK(Actuals!BB94),-366.3*Escalation!$B$50,Actuals!BB94)</f>
        <v/>
      </c>
      <c r="BB184" s="401">
        <f>IF(ISBLANK(Actuals!BC94),-366.3*Escalation!$B$51,Actuals!BC94)</f>
        <v/>
      </c>
      <c r="BC184" s="401">
        <f>IF(ISBLANK(Actuals!BD94),-366.3*Escalation!$B$52,Actuals!BD94)</f>
        <v/>
      </c>
      <c r="BD184" s="401">
        <f>IF(ISBLANK(Actuals!BE94),-366.3*Escalation!$B$53,Actuals!BE94)</f>
        <v/>
      </c>
      <c r="BE184" s="401">
        <f>IF(ISBLANK(Actuals!BF94),-366.3*Escalation!$B$54,Actuals!BF94)</f>
        <v/>
      </c>
      <c r="BF184" s="401">
        <f>IF(ISBLANK(Actuals!BG94),-366.3*Escalation!$B$55,Actuals!BG94)</f>
        <v/>
      </c>
      <c r="BG184" s="401">
        <f>IF(ISBLANK(Actuals!BH94),-366.3*Escalation!$B$56,Actuals!BH94)</f>
        <v/>
      </c>
      <c r="BH184" s="401">
        <f>IF(ISBLANK(Actuals!BI94),-366.3*Escalation!$B$57,Actuals!BI94)</f>
        <v/>
      </c>
      <c r="BI184" s="401">
        <f>IF(ISBLANK(Actuals!BJ94),-366.3*Escalation!$B$58,Actuals!BJ94)</f>
        <v/>
      </c>
      <c r="BJ184" s="401">
        <f>IF(ISBLANK(Actuals!BK94),-366.3*Escalation!$B$59,Actuals!BK94)</f>
        <v/>
      </c>
      <c r="BK184" s="401">
        <f>IF(ISBLANK(Actuals!BL94),-366.3*Escalation!$B$60,Actuals!BL94)</f>
        <v/>
      </c>
      <c r="BL184" s="401">
        <f>IF(ISBLANK(Actuals!BM94),-366.3*Escalation!$B$61,Actuals!BM94)</f>
        <v/>
      </c>
      <c r="BM184" s="401">
        <f>IF(ISBLANK(Actuals!BN94),-366.3*Escalation!$B$62,Actuals!BN94)</f>
        <v/>
      </c>
      <c r="BN184" s="401">
        <f>IF(ISBLANK(Actuals!BO94),-366.3*Escalation!$B$63,Actuals!BO94)</f>
        <v/>
      </c>
      <c r="BO184" s="401">
        <f>IF(ISBLANK(Actuals!BP94),-366.3*Escalation!$B$64,Actuals!BP94)</f>
        <v/>
      </c>
      <c r="BP184" s="401">
        <f>IF(ISBLANK(Actuals!BQ94),-366.3*Escalation!$B$65,Actuals!BQ94)</f>
        <v/>
      </c>
      <c r="BQ184" s="401">
        <f>IF(ISBLANK(Actuals!BR94),-366.3*Escalation!$B$66,Actuals!BR94)</f>
        <v/>
      </c>
      <c r="BR184" s="401">
        <f>IF(ISBLANK(Actuals!BS94),-366.3*Escalation!$B$67,Actuals!BS94)</f>
        <v/>
      </c>
      <c r="BS184" s="401">
        <f>IF(ISBLANK(Actuals!BT94),-366.3*Escalation!$B$68,Actuals!BT94)</f>
        <v/>
      </c>
      <c r="BT184" s="401">
        <f>IF(ISBLANK(Actuals!BU94),-366.3*Escalation!$B$69,Actuals!BU94)</f>
        <v/>
      </c>
      <c r="BU184" s="401">
        <f>IF(ISBLANK(Actuals!BV94),-366.3*Escalation!$B$70,Actuals!BV94)</f>
        <v/>
      </c>
      <c r="BV184" s="401">
        <f>IF(ISBLANK(Actuals!BW94),-366.3*Escalation!$B$71,Actuals!BW94)</f>
        <v/>
      </c>
      <c r="BW184" s="401">
        <f>IF(ISBLANK(Actuals!BX94),-366.3*Escalation!$B$72,Actuals!BX94)</f>
        <v/>
      </c>
      <c r="BX184" s="401">
        <f>IF(ISBLANK(Actuals!BY94),-366.3*Escalation!$B$73,Actuals!BY94)</f>
        <v/>
      </c>
      <c r="BY184" s="401">
        <f>IF(ISBLANK(Actuals!BZ94),-366.3*Escalation!$B$74,Actuals!BZ94)</f>
        <v/>
      </c>
      <c r="BZ184" s="401">
        <f>IF(ISBLANK(Actuals!CA94),-366.3*Escalation!$B$75,Actuals!CA94)</f>
        <v/>
      </c>
      <c r="CA184" s="401">
        <f>IF(ISBLANK(Actuals!CB94),-366.3*Escalation!$B$76,Actuals!CB94)</f>
        <v/>
      </c>
      <c r="CB184" s="401">
        <f>IF(ISBLANK(Actuals!CC94),-366.3*Escalation!$B$77,Actuals!CC94)</f>
        <v/>
      </c>
      <c r="CC184" s="401">
        <f>IF(ISBLANK(Actuals!CD94),-366.3*Escalation!$B$78,Actuals!CD94)</f>
        <v/>
      </c>
      <c r="CD184" s="401">
        <f>IF(ISBLANK(Actuals!CE94),-366.3*Escalation!$B$79,Actuals!CE94)</f>
        <v/>
      </c>
      <c r="CE184" s="401">
        <f>IF(ISBLANK(Actuals!CF94),-366.3*Escalation!$B$80,Actuals!CF94)</f>
        <v/>
      </c>
      <c r="CF184" s="401">
        <f>IF(ISBLANK(Actuals!CG94),-366.3*Escalation!$B$81,Actuals!CG94)</f>
        <v/>
      </c>
      <c r="CG184" s="401">
        <f>IF(ISBLANK(Actuals!CH94),-366.3*Escalation!$B$82,Actuals!CH94)</f>
        <v/>
      </c>
      <c r="CH184" s="401">
        <f>IF(ISBLANK(Actuals!CI94),-366.3*Escalation!$B$83,Actuals!CI94)</f>
        <v/>
      </c>
      <c r="CI184" s="401">
        <f>IF(ISBLANK(Actuals!CJ94),-366.3*Escalation!$B$84,Actuals!CJ94)</f>
        <v/>
      </c>
      <c r="CJ184" s="401">
        <f>IF(ISBLANK(Actuals!CK94),-366.3*Escalation!$B$85,Actuals!CK94)</f>
        <v/>
      </c>
      <c r="CK184" s="401">
        <f>IF(ISBLANK(Actuals!CL94),-366.3*Escalation!$B$86,Actuals!CL94)</f>
        <v/>
      </c>
      <c r="CL184" s="401">
        <f>IF(ISBLANK(Actuals!CM94),-366.3*Escalation!$B$87,Actuals!CM94)</f>
        <v/>
      </c>
      <c r="CM184" s="401">
        <f>IF(ISBLANK(Actuals!CN94),-366.3*Escalation!$B$88,Actuals!CN94)</f>
        <v/>
      </c>
      <c r="CN184" s="401">
        <f>IF(ISBLANK(Actuals!CO94),-366.3*Escalation!$B$89,Actuals!CO94)</f>
        <v/>
      </c>
      <c r="CO184" s="401">
        <f>IF(ISBLANK(Actuals!CP94),-366.3*Escalation!$B$90,Actuals!CP94)</f>
        <v/>
      </c>
      <c r="CP184" s="401">
        <f>IF(ISBLANK(Actuals!CQ94),-366.3*Escalation!$B$91,Actuals!CQ94)</f>
        <v/>
      </c>
      <c r="CQ184" s="401">
        <f>IF(ISBLANK(Actuals!CR94),-366.3*Escalation!$B$92,Actuals!CR94)</f>
        <v/>
      </c>
      <c r="CR184" s="401">
        <f>IF(ISBLANK(Actuals!CS94),-366.3*Escalation!$B$93,Actuals!CS94)</f>
        <v/>
      </c>
      <c r="CS184" s="401">
        <f>IF(ISBLANK(Actuals!CT94),-366.3*Escalation!$B$94,Actuals!CT94)</f>
        <v/>
      </c>
      <c r="CT184" s="401">
        <f>IF(ISBLANK(Actuals!CU94),-366.3*Escalation!$B$95,Actuals!CU94)</f>
        <v/>
      </c>
      <c r="CU184" s="401">
        <f>IF(ISBLANK(Actuals!CV94),-366.3*Escalation!$B$96,Actuals!CV94)</f>
        <v/>
      </c>
      <c r="CV184" s="401">
        <f>IF(ISBLANK(Actuals!CW94),-366.3*Escalation!$B$97,Actuals!CW94)</f>
        <v/>
      </c>
      <c r="CW184" s="401">
        <f>IF(ISBLANK(Actuals!CX94),-366.3*Escalation!$B$98,Actuals!CX94)</f>
        <v/>
      </c>
      <c r="CX184" s="401">
        <f>IF(ISBLANK(Actuals!CY94),-366.3*Escalation!$B$99,Actuals!CY94)</f>
        <v/>
      </c>
      <c r="CY184" s="401">
        <f>IF(ISBLANK(Actuals!CZ94),-366.3*Escalation!$B$100,Actuals!CZ94)</f>
        <v/>
      </c>
      <c r="CZ184" s="401">
        <f>IF(ISBLANK(Actuals!DA94),-366.3*Escalation!$B$101,Actuals!DA94)</f>
        <v/>
      </c>
      <c r="DA184" s="401">
        <f>IF(ISBLANK(Actuals!DB94),-366.3*Escalation!$B$102,Actuals!DB94)</f>
        <v/>
      </c>
      <c r="DB184" s="401">
        <f>IF(ISBLANK(Actuals!DC94),-366.3*Escalation!$B$103,Actuals!DC94)</f>
        <v/>
      </c>
      <c r="DC184" s="401">
        <f>IF(ISBLANK(Actuals!DD94),-366.3*Escalation!$B$104,Actuals!DD94)</f>
        <v/>
      </c>
      <c r="DD184" s="401">
        <f>IF(ISBLANK(Actuals!DE94),-366.3*Escalation!$B$105,Actuals!DE94)</f>
        <v/>
      </c>
      <c r="DE184" s="401">
        <f>IF(ISBLANK(Actuals!DF94),-366.3*Escalation!$B$106,Actuals!DF94)</f>
        <v/>
      </c>
    </row>
    <row r="185" ht="15" customFormat="1" customHeight="1" s="380">
      <c r="A185" s="415" t="inlineStr">
        <is>
          <t>5300-1002 Parking</t>
        </is>
      </c>
      <c r="B185" s="401">
        <f>IF(ISBLANK(Actuals!C95),0,Actuals!C95)</f>
        <v/>
      </c>
      <c r="C185" s="401">
        <f>IF(ISBLANK(Actuals!D95),0,Actuals!D95)</f>
        <v/>
      </c>
      <c r="D185" s="401">
        <f>IF(ISBLANK(Actuals!E95),0,Actuals!E95)</f>
        <v/>
      </c>
      <c r="E185" s="401">
        <f>IF(ISBLANK(Actuals!F95),-50.07*Escalation!$B$2,Actuals!F95)</f>
        <v/>
      </c>
      <c r="F185" s="401">
        <f>IF(ISBLANK(Actuals!G95),-50.07*Escalation!$B$3,Actuals!G95)</f>
        <v/>
      </c>
      <c r="G185" s="401">
        <f>IF(ISBLANK(Actuals!H95),-50.07*Escalation!$B$4,Actuals!H95)</f>
        <v/>
      </c>
      <c r="H185" s="401">
        <f>IF(ISBLANK(Actuals!I95),-50.07*Escalation!$B$5,Actuals!I95)</f>
        <v/>
      </c>
      <c r="I185" s="401">
        <f>IF(ISBLANK(Actuals!J95),-50.07*Escalation!$B$6,Actuals!J95)</f>
        <v/>
      </c>
      <c r="J185" s="401">
        <f>IF(ISBLANK(Actuals!K95),-50.07*Escalation!$B$7,Actuals!K95)</f>
        <v/>
      </c>
      <c r="K185" s="401">
        <f>IF(ISBLANK(Actuals!L95),-50.07*Escalation!$B$8,Actuals!L95)</f>
        <v/>
      </c>
      <c r="L185" s="401">
        <f>IF(ISBLANK(Actuals!M95),-50.07*Escalation!$B$9,Actuals!M95)</f>
        <v/>
      </c>
      <c r="M185" s="401">
        <f>IF(ISBLANK(Actuals!N95),-50.07*Escalation!$B$10,Actuals!N95)</f>
        <v/>
      </c>
      <c r="N185" s="401">
        <f>IF(ISBLANK(Actuals!O95),-50.07*Escalation!$B$11,Actuals!O95)</f>
        <v/>
      </c>
      <c r="O185" s="401">
        <f>IF(ISBLANK(Actuals!P95),-50.07*Escalation!$B$12,Actuals!P95)</f>
        <v/>
      </c>
      <c r="P185" s="401">
        <f>IF(ISBLANK(Actuals!Q95),-50.07*Escalation!$B$13,Actuals!Q95)</f>
        <v/>
      </c>
      <c r="Q185" s="401">
        <f>IF(ISBLANK(Actuals!R95),-50.07*Escalation!$B$14,Actuals!R95)</f>
        <v/>
      </c>
      <c r="R185" s="401">
        <f>IF(ISBLANK(Actuals!S95),-50.07*Escalation!$B$15,Actuals!S95)</f>
        <v/>
      </c>
      <c r="S185" s="401">
        <f>IF(ISBLANK(Actuals!T95),-50.07*Escalation!$B$16,Actuals!T95)</f>
        <v/>
      </c>
      <c r="T185" s="401">
        <f>IF(ISBLANK(Actuals!U95),-50.07*Escalation!$B$17,Actuals!U95)</f>
        <v/>
      </c>
      <c r="U185" s="401">
        <f>IF(ISBLANK(Actuals!V95),-50.07*Escalation!$B$18,Actuals!V95)</f>
        <v/>
      </c>
      <c r="V185" s="401">
        <f>IF(ISBLANK(Actuals!W95),-50.07*Escalation!$B$19,Actuals!W95)</f>
        <v/>
      </c>
      <c r="W185" s="401">
        <f>IF(ISBLANK(Actuals!X95),-50.07*Escalation!$B$20,Actuals!X95)</f>
        <v/>
      </c>
      <c r="X185" s="401">
        <f>IF(ISBLANK(Actuals!Y95),-50.07*Escalation!$B$21,Actuals!Y95)</f>
        <v/>
      </c>
      <c r="Y185" s="401">
        <f>IF(ISBLANK(Actuals!Z95),-50.07*Escalation!$B$22,Actuals!Z95)</f>
        <v/>
      </c>
      <c r="Z185" s="401">
        <f>IF(ISBLANK(Actuals!AA95),-50.07*Escalation!$B$23,Actuals!AA95)</f>
        <v/>
      </c>
      <c r="AA185" s="401">
        <f>IF(ISBLANK(Actuals!AB95),-50.07*Escalation!$B$24,Actuals!AB95)</f>
        <v/>
      </c>
      <c r="AB185" s="401">
        <f>IF(ISBLANK(Actuals!AC95),-50.07*Escalation!$B$25,Actuals!AC95)</f>
        <v/>
      </c>
      <c r="AC185" s="401">
        <f>IF(ISBLANK(Actuals!AD95),-50.07*Escalation!$B$26,Actuals!AD95)</f>
        <v/>
      </c>
      <c r="AD185" s="401">
        <f>IF(ISBLANK(Actuals!AE95),-50.07*Escalation!$B$27,Actuals!AE95)</f>
        <v/>
      </c>
      <c r="AE185" s="401">
        <f>IF(ISBLANK(Actuals!AF95),-50.07*Escalation!$B$28,Actuals!AF95)</f>
        <v/>
      </c>
      <c r="AF185" s="401">
        <f>IF(ISBLANK(Actuals!AG95),-50.07*Escalation!$B$29,Actuals!AG95)</f>
        <v/>
      </c>
      <c r="AG185" s="401">
        <f>IF(ISBLANK(Actuals!AH95),-50.07*Escalation!$B$30,Actuals!AH95)</f>
        <v/>
      </c>
      <c r="AH185" s="401">
        <f>IF(ISBLANK(Actuals!AI95),-50.07*Escalation!$B$31,Actuals!AI95)</f>
        <v/>
      </c>
      <c r="AI185" s="401">
        <f>IF(ISBLANK(Actuals!AJ95),-50.07*Escalation!$B$32,Actuals!AJ95)</f>
        <v/>
      </c>
      <c r="AJ185" s="401">
        <f>IF(ISBLANK(Actuals!AK95),-50.07*Escalation!$B$33,Actuals!AK95)</f>
        <v/>
      </c>
      <c r="AK185" s="401">
        <f>IF(ISBLANK(Actuals!AL95),-50.07*Escalation!$B$34,Actuals!AL95)</f>
        <v/>
      </c>
      <c r="AL185" s="401">
        <f>IF(ISBLANK(Actuals!AM95),-50.07*Escalation!$B$35,Actuals!AM95)</f>
        <v/>
      </c>
      <c r="AM185" s="401">
        <f>IF(ISBLANK(Actuals!AN95),-50.07*Escalation!$B$36,Actuals!AN95)</f>
        <v/>
      </c>
      <c r="AN185" s="401">
        <f>IF(ISBLANK(Actuals!AO95),-50.07*Escalation!$B$37,Actuals!AO95)</f>
        <v/>
      </c>
      <c r="AO185" s="401">
        <f>IF(ISBLANK(Actuals!AP95),-50.07*Escalation!$B$38,Actuals!AP95)</f>
        <v/>
      </c>
      <c r="AP185" s="401">
        <f>IF(ISBLANK(Actuals!AQ95),-50.07*Escalation!$B$39,Actuals!AQ95)</f>
        <v/>
      </c>
      <c r="AQ185" s="401">
        <f>IF(ISBLANK(Actuals!AR95),-50.07*Escalation!$B$40,Actuals!AR95)</f>
        <v/>
      </c>
      <c r="AR185" s="401">
        <f>IF(ISBLANK(Actuals!AS95),-50.07*Escalation!$B$41,Actuals!AS95)</f>
        <v/>
      </c>
      <c r="AS185" s="401">
        <f>IF(ISBLANK(Actuals!AT95),-50.07*Escalation!$B$42,Actuals!AT95)</f>
        <v/>
      </c>
      <c r="AT185" s="401">
        <f>IF(ISBLANK(Actuals!AU95),-50.07*Escalation!$B$43,Actuals!AU95)</f>
        <v/>
      </c>
      <c r="AU185" s="401">
        <f>IF(ISBLANK(Actuals!AV95),-50.07*Escalation!$B$44,Actuals!AV95)</f>
        <v/>
      </c>
      <c r="AV185" s="401">
        <f>IF(ISBLANK(Actuals!AW95),-50.07*Escalation!$B$45,Actuals!AW95)</f>
        <v/>
      </c>
      <c r="AW185" s="401">
        <f>IF(ISBLANK(Actuals!AX95),-50.07*Escalation!$B$46,Actuals!AX95)</f>
        <v/>
      </c>
      <c r="AX185" s="401">
        <f>IF(ISBLANK(Actuals!AY95),-50.07*Escalation!$B$47,Actuals!AY95)</f>
        <v/>
      </c>
      <c r="AY185" s="401">
        <f>IF(ISBLANK(Actuals!AZ95),-50.07*Escalation!$B$48,Actuals!AZ95)</f>
        <v/>
      </c>
      <c r="AZ185" s="401">
        <f>IF(ISBLANK(Actuals!BA95),-50.07*Escalation!$B$49,Actuals!BA95)</f>
        <v/>
      </c>
      <c r="BA185" s="401">
        <f>IF(ISBLANK(Actuals!BB95),-50.07*Escalation!$B$50,Actuals!BB95)</f>
        <v/>
      </c>
      <c r="BB185" s="401">
        <f>IF(ISBLANK(Actuals!BC95),-50.07*Escalation!$B$51,Actuals!BC95)</f>
        <v/>
      </c>
      <c r="BC185" s="401">
        <f>IF(ISBLANK(Actuals!BD95),-50.07*Escalation!$B$52,Actuals!BD95)</f>
        <v/>
      </c>
      <c r="BD185" s="401">
        <f>IF(ISBLANK(Actuals!BE95),-50.07*Escalation!$B$53,Actuals!BE95)</f>
        <v/>
      </c>
      <c r="BE185" s="401">
        <f>IF(ISBLANK(Actuals!BF95),-50.07*Escalation!$B$54,Actuals!BF95)</f>
        <v/>
      </c>
      <c r="BF185" s="401">
        <f>IF(ISBLANK(Actuals!BG95),-50.07*Escalation!$B$55,Actuals!BG95)</f>
        <v/>
      </c>
      <c r="BG185" s="401">
        <f>IF(ISBLANK(Actuals!BH95),-50.07*Escalation!$B$56,Actuals!BH95)</f>
        <v/>
      </c>
      <c r="BH185" s="401">
        <f>IF(ISBLANK(Actuals!BI95),-50.07*Escalation!$B$57,Actuals!BI95)</f>
        <v/>
      </c>
      <c r="BI185" s="401">
        <f>IF(ISBLANK(Actuals!BJ95),-50.07*Escalation!$B$58,Actuals!BJ95)</f>
        <v/>
      </c>
      <c r="BJ185" s="401">
        <f>IF(ISBLANK(Actuals!BK95),-50.07*Escalation!$B$59,Actuals!BK95)</f>
        <v/>
      </c>
      <c r="BK185" s="401">
        <f>IF(ISBLANK(Actuals!BL95),-50.07*Escalation!$B$60,Actuals!BL95)</f>
        <v/>
      </c>
      <c r="BL185" s="401">
        <f>IF(ISBLANK(Actuals!BM95),-50.07*Escalation!$B$61,Actuals!BM95)</f>
        <v/>
      </c>
      <c r="BM185" s="401">
        <f>IF(ISBLANK(Actuals!BN95),-50.07*Escalation!$B$62,Actuals!BN95)</f>
        <v/>
      </c>
      <c r="BN185" s="401">
        <f>IF(ISBLANK(Actuals!BO95),-50.07*Escalation!$B$63,Actuals!BO95)</f>
        <v/>
      </c>
      <c r="BO185" s="401">
        <f>IF(ISBLANK(Actuals!BP95),-50.07*Escalation!$B$64,Actuals!BP95)</f>
        <v/>
      </c>
      <c r="BP185" s="401">
        <f>IF(ISBLANK(Actuals!BQ95),-50.07*Escalation!$B$65,Actuals!BQ95)</f>
        <v/>
      </c>
      <c r="BQ185" s="401">
        <f>IF(ISBLANK(Actuals!BR95),-50.07*Escalation!$B$66,Actuals!BR95)</f>
        <v/>
      </c>
      <c r="BR185" s="401">
        <f>IF(ISBLANK(Actuals!BS95),-50.07*Escalation!$B$67,Actuals!BS95)</f>
        <v/>
      </c>
      <c r="BS185" s="401">
        <f>IF(ISBLANK(Actuals!BT95),-50.07*Escalation!$B$68,Actuals!BT95)</f>
        <v/>
      </c>
      <c r="BT185" s="401">
        <f>IF(ISBLANK(Actuals!BU95),-50.07*Escalation!$B$69,Actuals!BU95)</f>
        <v/>
      </c>
      <c r="BU185" s="401">
        <f>IF(ISBLANK(Actuals!BV95),-50.07*Escalation!$B$70,Actuals!BV95)</f>
        <v/>
      </c>
      <c r="BV185" s="401">
        <f>IF(ISBLANK(Actuals!BW95),-50.07*Escalation!$B$71,Actuals!BW95)</f>
        <v/>
      </c>
      <c r="BW185" s="401">
        <f>IF(ISBLANK(Actuals!BX95),-50.07*Escalation!$B$72,Actuals!BX95)</f>
        <v/>
      </c>
      <c r="BX185" s="401">
        <f>IF(ISBLANK(Actuals!BY95),-50.07*Escalation!$B$73,Actuals!BY95)</f>
        <v/>
      </c>
      <c r="BY185" s="401">
        <f>IF(ISBLANK(Actuals!BZ95),-50.07*Escalation!$B$74,Actuals!BZ95)</f>
        <v/>
      </c>
      <c r="BZ185" s="401">
        <f>IF(ISBLANK(Actuals!CA95),-50.07*Escalation!$B$75,Actuals!CA95)</f>
        <v/>
      </c>
      <c r="CA185" s="401">
        <f>IF(ISBLANK(Actuals!CB95),-50.07*Escalation!$B$76,Actuals!CB95)</f>
        <v/>
      </c>
      <c r="CB185" s="401">
        <f>IF(ISBLANK(Actuals!CC95),-50.07*Escalation!$B$77,Actuals!CC95)</f>
        <v/>
      </c>
      <c r="CC185" s="401">
        <f>IF(ISBLANK(Actuals!CD95),-50.07*Escalation!$B$78,Actuals!CD95)</f>
        <v/>
      </c>
      <c r="CD185" s="401">
        <f>IF(ISBLANK(Actuals!CE95),-50.07*Escalation!$B$79,Actuals!CE95)</f>
        <v/>
      </c>
      <c r="CE185" s="401">
        <f>IF(ISBLANK(Actuals!CF95),-50.07*Escalation!$B$80,Actuals!CF95)</f>
        <v/>
      </c>
      <c r="CF185" s="401">
        <f>IF(ISBLANK(Actuals!CG95),-50.07*Escalation!$B$81,Actuals!CG95)</f>
        <v/>
      </c>
      <c r="CG185" s="401">
        <f>IF(ISBLANK(Actuals!CH95),-50.07*Escalation!$B$82,Actuals!CH95)</f>
        <v/>
      </c>
      <c r="CH185" s="401">
        <f>IF(ISBLANK(Actuals!CI95),-50.07*Escalation!$B$83,Actuals!CI95)</f>
        <v/>
      </c>
      <c r="CI185" s="401">
        <f>IF(ISBLANK(Actuals!CJ95),-50.07*Escalation!$B$84,Actuals!CJ95)</f>
        <v/>
      </c>
      <c r="CJ185" s="401">
        <f>IF(ISBLANK(Actuals!CK95),-50.07*Escalation!$B$85,Actuals!CK95)</f>
        <v/>
      </c>
      <c r="CK185" s="401">
        <f>IF(ISBLANK(Actuals!CL95),-50.07*Escalation!$B$86,Actuals!CL95)</f>
        <v/>
      </c>
      <c r="CL185" s="401">
        <f>IF(ISBLANK(Actuals!CM95),-50.07*Escalation!$B$87,Actuals!CM95)</f>
        <v/>
      </c>
      <c r="CM185" s="401">
        <f>IF(ISBLANK(Actuals!CN95),-50.07*Escalation!$B$88,Actuals!CN95)</f>
        <v/>
      </c>
      <c r="CN185" s="401">
        <f>IF(ISBLANK(Actuals!CO95),-50.07*Escalation!$B$89,Actuals!CO95)</f>
        <v/>
      </c>
      <c r="CO185" s="401">
        <f>IF(ISBLANK(Actuals!CP95),-50.07*Escalation!$B$90,Actuals!CP95)</f>
        <v/>
      </c>
      <c r="CP185" s="401">
        <f>IF(ISBLANK(Actuals!CQ95),-50.07*Escalation!$B$91,Actuals!CQ95)</f>
        <v/>
      </c>
      <c r="CQ185" s="401">
        <f>IF(ISBLANK(Actuals!CR95),-50.07*Escalation!$B$92,Actuals!CR95)</f>
        <v/>
      </c>
      <c r="CR185" s="401">
        <f>IF(ISBLANK(Actuals!CS95),-50.07*Escalation!$B$93,Actuals!CS95)</f>
        <v/>
      </c>
      <c r="CS185" s="401">
        <f>IF(ISBLANK(Actuals!CT95),-50.07*Escalation!$B$94,Actuals!CT95)</f>
        <v/>
      </c>
      <c r="CT185" s="401">
        <f>IF(ISBLANK(Actuals!CU95),-50.07*Escalation!$B$95,Actuals!CU95)</f>
        <v/>
      </c>
      <c r="CU185" s="401">
        <f>IF(ISBLANK(Actuals!CV95),-50.07*Escalation!$B$96,Actuals!CV95)</f>
        <v/>
      </c>
      <c r="CV185" s="401">
        <f>IF(ISBLANK(Actuals!CW95),-50.07*Escalation!$B$97,Actuals!CW95)</f>
        <v/>
      </c>
      <c r="CW185" s="401">
        <f>IF(ISBLANK(Actuals!CX95),-50.07*Escalation!$B$98,Actuals!CX95)</f>
        <v/>
      </c>
      <c r="CX185" s="401">
        <f>IF(ISBLANK(Actuals!CY95),-50.07*Escalation!$B$99,Actuals!CY95)</f>
        <v/>
      </c>
      <c r="CY185" s="401">
        <f>IF(ISBLANK(Actuals!CZ95),-50.07*Escalation!$B$100,Actuals!CZ95)</f>
        <v/>
      </c>
      <c r="CZ185" s="401">
        <f>IF(ISBLANK(Actuals!DA95),-50.07*Escalation!$B$101,Actuals!DA95)</f>
        <v/>
      </c>
      <c r="DA185" s="401">
        <f>IF(ISBLANK(Actuals!DB95),-50.07*Escalation!$B$102,Actuals!DB95)</f>
        <v/>
      </c>
      <c r="DB185" s="401">
        <f>IF(ISBLANK(Actuals!DC95),-50.07*Escalation!$B$103,Actuals!DC95)</f>
        <v/>
      </c>
      <c r="DC185" s="401">
        <f>IF(ISBLANK(Actuals!DD95),-50.07*Escalation!$B$104,Actuals!DD95)</f>
        <v/>
      </c>
      <c r="DD185" s="401">
        <f>IF(ISBLANK(Actuals!DE95),-50.07*Escalation!$B$105,Actuals!DE95)</f>
        <v/>
      </c>
      <c r="DE185" s="401">
        <f>IF(ISBLANK(Actuals!DF95),-50.07*Escalation!$B$106,Actuals!DF95)</f>
        <v/>
      </c>
    </row>
    <row r="186" ht="15" customFormat="1" customHeight="1" s="380">
      <c r="A186" s="415" t="inlineStr">
        <is>
          <t>5300-1050 Meals and Entertainment</t>
        </is>
      </c>
      <c r="B186" s="401">
        <f>IF(ISBLANK(Actuals!C96),0,Actuals!C96)</f>
        <v/>
      </c>
      <c r="C186" s="401">
        <f>IF(ISBLANK(Actuals!D96),0,Actuals!D96)</f>
        <v/>
      </c>
      <c r="D186" s="401">
        <f>IF(ISBLANK(Actuals!E96),0,Actuals!E96)</f>
        <v/>
      </c>
      <c r="E186" s="401">
        <f>IF(ISBLANK(Actuals!F96),-896.43*Escalation!$B$2,Actuals!F96)</f>
        <v/>
      </c>
      <c r="F186" s="401">
        <f>IF(ISBLANK(Actuals!G96),-896.43*Escalation!$B$3,Actuals!G96)</f>
        <v/>
      </c>
      <c r="G186" s="401">
        <f>IF(ISBLANK(Actuals!H96),-896.43*Escalation!$B$4,Actuals!H96)</f>
        <v/>
      </c>
      <c r="H186" s="401">
        <f>IF(ISBLANK(Actuals!I96),-896.43*Escalation!$B$5,Actuals!I96)</f>
        <v/>
      </c>
      <c r="I186" s="401">
        <f>IF(ISBLANK(Actuals!J96),-896.43*Escalation!$B$6,Actuals!J96)</f>
        <v/>
      </c>
      <c r="J186" s="401">
        <f>IF(ISBLANK(Actuals!K96),-896.43*Escalation!$B$7,Actuals!K96)</f>
        <v/>
      </c>
      <c r="K186" s="401">
        <f>IF(ISBLANK(Actuals!L96),-896.43*Escalation!$B$8,Actuals!L96)</f>
        <v/>
      </c>
      <c r="L186" s="401">
        <f>IF(ISBLANK(Actuals!M96),-896.43*Escalation!$B$9,Actuals!M96)</f>
        <v/>
      </c>
      <c r="M186" s="401">
        <f>IF(ISBLANK(Actuals!N96),-896.43*Escalation!$B$10,Actuals!N96)</f>
        <v/>
      </c>
      <c r="N186" s="401">
        <f>IF(ISBLANK(Actuals!O96),-896.43*Escalation!$B$11,Actuals!O96)</f>
        <v/>
      </c>
      <c r="O186" s="401">
        <f>IF(ISBLANK(Actuals!P96),-896.43*Escalation!$B$12,Actuals!P96)</f>
        <v/>
      </c>
      <c r="P186" s="401">
        <f>IF(ISBLANK(Actuals!Q96),-896.43*Escalation!$B$13,Actuals!Q96)</f>
        <v/>
      </c>
      <c r="Q186" s="401">
        <f>IF(ISBLANK(Actuals!R96),-896.43*Escalation!$B$14,Actuals!R96)</f>
        <v/>
      </c>
      <c r="R186" s="401">
        <f>IF(ISBLANK(Actuals!S96),-896.43*Escalation!$B$15,Actuals!S96)</f>
        <v/>
      </c>
      <c r="S186" s="401">
        <f>IF(ISBLANK(Actuals!T96),-896.43*Escalation!$B$16,Actuals!T96)</f>
        <v/>
      </c>
      <c r="T186" s="401">
        <f>IF(ISBLANK(Actuals!U96),-896.43*Escalation!$B$17,Actuals!U96)</f>
        <v/>
      </c>
      <c r="U186" s="401">
        <f>IF(ISBLANK(Actuals!V96),-896.43*Escalation!$B$18,Actuals!V96)</f>
        <v/>
      </c>
      <c r="V186" s="401">
        <f>IF(ISBLANK(Actuals!W96),-896.43*Escalation!$B$19,Actuals!W96)</f>
        <v/>
      </c>
      <c r="W186" s="401">
        <f>IF(ISBLANK(Actuals!X96),-896.43*Escalation!$B$20,Actuals!X96)</f>
        <v/>
      </c>
      <c r="X186" s="401">
        <f>IF(ISBLANK(Actuals!Y96),-896.43*Escalation!$B$21,Actuals!Y96)</f>
        <v/>
      </c>
      <c r="Y186" s="401">
        <f>IF(ISBLANK(Actuals!Z96),-896.43*Escalation!$B$22,Actuals!Z96)</f>
        <v/>
      </c>
      <c r="Z186" s="401">
        <f>IF(ISBLANK(Actuals!AA96),-896.43*Escalation!$B$23,Actuals!AA96)</f>
        <v/>
      </c>
      <c r="AA186" s="401">
        <f>IF(ISBLANK(Actuals!AB96),-896.43*Escalation!$B$24,Actuals!AB96)</f>
        <v/>
      </c>
      <c r="AB186" s="401">
        <f>IF(ISBLANK(Actuals!AC96),-896.43*Escalation!$B$25,Actuals!AC96)</f>
        <v/>
      </c>
      <c r="AC186" s="401">
        <f>IF(ISBLANK(Actuals!AD96),-896.43*Escalation!$B$26,Actuals!AD96)</f>
        <v/>
      </c>
      <c r="AD186" s="401">
        <f>IF(ISBLANK(Actuals!AE96),-896.43*Escalation!$B$27,Actuals!AE96)</f>
        <v/>
      </c>
      <c r="AE186" s="401">
        <f>IF(ISBLANK(Actuals!AF96),-896.43*Escalation!$B$28,Actuals!AF96)</f>
        <v/>
      </c>
      <c r="AF186" s="401">
        <f>IF(ISBLANK(Actuals!AG96),-896.43*Escalation!$B$29,Actuals!AG96)</f>
        <v/>
      </c>
      <c r="AG186" s="401">
        <f>IF(ISBLANK(Actuals!AH96),-896.43*Escalation!$B$30,Actuals!AH96)</f>
        <v/>
      </c>
      <c r="AH186" s="401">
        <f>IF(ISBLANK(Actuals!AI96),-896.43*Escalation!$B$31,Actuals!AI96)</f>
        <v/>
      </c>
      <c r="AI186" s="401">
        <f>IF(ISBLANK(Actuals!AJ96),-896.43*Escalation!$B$32,Actuals!AJ96)</f>
        <v/>
      </c>
      <c r="AJ186" s="401">
        <f>IF(ISBLANK(Actuals!AK96),-896.43*Escalation!$B$33,Actuals!AK96)</f>
        <v/>
      </c>
      <c r="AK186" s="401">
        <f>IF(ISBLANK(Actuals!AL96),-896.43*Escalation!$B$34,Actuals!AL96)</f>
        <v/>
      </c>
      <c r="AL186" s="401">
        <f>IF(ISBLANK(Actuals!AM96),-896.43*Escalation!$B$35,Actuals!AM96)</f>
        <v/>
      </c>
      <c r="AM186" s="401">
        <f>IF(ISBLANK(Actuals!AN96),-896.43*Escalation!$B$36,Actuals!AN96)</f>
        <v/>
      </c>
      <c r="AN186" s="401">
        <f>IF(ISBLANK(Actuals!AO96),-896.43*Escalation!$B$37,Actuals!AO96)</f>
        <v/>
      </c>
      <c r="AO186" s="401">
        <f>IF(ISBLANK(Actuals!AP96),-896.43*Escalation!$B$38,Actuals!AP96)</f>
        <v/>
      </c>
      <c r="AP186" s="401">
        <f>IF(ISBLANK(Actuals!AQ96),-896.43*Escalation!$B$39,Actuals!AQ96)</f>
        <v/>
      </c>
      <c r="AQ186" s="401">
        <f>IF(ISBLANK(Actuals!AR96),-896.43*Escalation!$B$40,Actuals!AR96)</f>
        <v/>
      </c>
      <c r="AR186" s="401">
        <f>IF(ISBLANK(Actuals!AS96),-896.43*Escalation!$B$41,Actuals!AS96)</f>
        <v/>
      </c>
      <c r="AS186" s="401">
        <f>IF(ISBLANK(Actuals!AT96),-896.43*Escalation!$B$42,Actuals!AT96)</f>
        <v/>
      </c>
      <c r="AT186" s="401">
        <f>IF(ISBLANK(Actuals!AU96),-896.43*Escalation!$B$43,Actuals!AU96)</f>
        <v/>
      </c>
      <c r="AU186" s="401">
        <f>IF(ISBLANK(Actuals!AV96),-896.43*Escalation!$B$44,Actuals!AV96)</f>
        <v/>
      </c>
      <c r="AV186" s="401">
        <f>IF(ISBLANK(Actuals!AW96),-896.43*Escalation!$B$45,Actuals!AW96)</f>
        <v/>
      </c>
      <c r="AW186" s="401">
        <f>IF(ISBLANK(Actuals!AX96),-896.43*Escalation!$B$46,Actuals!AX96)</f>
        <v/>
      </c>
      <c r="AX186" s="401">
        <f>IF(ISBLANK(Actuals!AY96),-896.43*Escalation!$B$47,Actuals!AY96)</f>
        <v/>
      </c>
      <c r="AY186" s="401">
        <f>IF(ISBLANK(Actuals!AZ96),-896.43*Escalation!$B$48,Actuals!AZ96)</f>
        <v/>
      </c>
      <c r="AZ186" s="401">
        <f>IF(ISBLANK(Actuals!BA96),-896.43*Escalation!$B$49,Actuals!BA96)</f>
        <v/>
      </c>
      <c r="BA186" s="401">
        <f>IF(ISBLANK(Actuals!BB96),-896.43*Escalation!$B$50,Actuals!BB96)</f>
        <v/>
      </c>
      <c r="BB186" s="401">
        <f>IF(ISBLANK(Actuals!BC96),-896.43*Escalation!$B$51,Actuals!BC96)</f>
        <v/>
      </c>
      <c r="BC186" s="401">
        <f>IF(ISBLANK(Actuals!BD96),-896.43*Escalation!$B$52,Actuals!BD96)</f>
        <v/>
      </c>
      <c r="BD186" s="401">
        <f>IF(ISBLANK(Actuals!BE96),-896.43*Escalation!$B$53,Actuals!BE96)</f>
        <v/>
      </c>
      <c r="BE186" s="401">
        <f>IF(ISBLANK(Actuals!BF96),-896.43*Escalation!$B$54,Actuals!BF96)</f>
        <v/>
      </c>
      <c r="BF186" s="401">
        <f>IF(ISBLANK(Actuals!BG96),-896.43*Escalation!$B$55,Actuals!BG96)</f>
        <v/>
      </c>
      <c r="BG186" s="401">
        <f>IF(ISBLANK(Actuals!BH96),-896.43*Escalation!$B$56,Actuals!BH96)</f>
        <v/>
      </c>
      <c r="BH186" s="401">
        <f>IF(ISBLANK(Actuals!BI96),-896.43*Escalation!$B$57,Actuals!BI96)</f>
        <v/>
      </c>
      <c r="BI186" s="401">
        <f>IF(ISBLANK(Actuals!BJ96),-896.43*Escalation!$B$58,Actuals!BJ96)</f>
        <v/>
      </c>
      <c r="BJ186" s="401">
        <f>IF(ISBLANK(Actuals!BK96),-896.43*Escalation!$B$59,Actuals!BK96)</f>
        <v/>
      </c>
      <c r="BK186" s="401">
        <f>IF(ISBLANK(Actuals!BL96),-896.43*Escalation!$B$60,Actuals!BL96)</f>
        <v/>
      </c>
      <c r="BL186" s="401">
        <f>IF(ISBLANK(Actuals!BM96),-896.43*Escalation!$B$61,Actuals!BM96)</f>
        <v/>
      </c>
      <c r="BM186" s="401">
        <f>IF(ISBLANK(Actuals!BN96),-896.43*Escalation!$B$62,Actuals!BN96)</f>
        <v/>
      </c>
      <c r="BN186" s="401">
        <f>IF(ISBLANK(Actuals!BO96),-896.43*Escalation!$B$63,Actuals!BO96)</f>
        <v/>
      </c>
      <c r="BO186" s="401">
        <f>IF(ISBLANK(Actuals!BP96),-896.43*Escalation!$B$64,Actuals!BP96)</f>
        <v/>
      </c>
      <c r="BP186" s="401">
        <f>IF(ISBLANK(Actuals!BQ96),-896.43*Escalation!$B$65,Actuals!BQ96)</f>
        <v/>
      </c>
      <c r="BQ186" s="401">
        <f>IF(ISBLANK(Actuals!BR96),-896.43*Escalation!$B$66,Actuals!BR96)</f>
        <v/>
      </c>
      <c r="BR186" s="401">
        <f>IF(ISBLANK(Actuals!BS96),-896.43*Escalation!$B$67,Actuals!BS96)</f>
        <v/>
      </c>
      <c r="BS186" s="401">
        <f>IF(ISBLANK(Actuals!BT96),-896.43*Escalation!$B$68,Actuals!BT96)</f>
        <v/>
      </c>
      <c r="BT186" s="401">
        <f>IF(ISBLANK(Actuals!BU96),-896.43*Escalation!$B$69,Actuals!BU96)</f>
        <v/>
      </c>
      <c r="BU186" s="401">
        <f>IF(ISBLANK(Actuals!BV96),-896.43*Escalation!$B$70,Actuals!BV96)</f>
        <v/>
      </c>
      <c r="BV186" s="401">
        <f>IF(ISBLANK(Actuals!BW96),-896.43*Escalation!$B$71,Actuals!BW96)</f>
        <v/>
      </c>
      <c r="BW186" s="401">
        <f>IF(ISBLANK(Actuals!BX96),-896.43*Escalation!$B$72,Actuals!BX96)</f>
        <v/>
      </c>
      <c r="BX186" s="401">
        <f>IF(ISBLANK(Actuals!BY96),-896.43*Escalation!$B$73,Actuals!BY96)</f>
        <v/>
      </c>
      <c r="BY186" s="401">
        <f>IF(ISBLANK(Actuals!BZ96),-896.43*Escalation!$B$74,Actuals!BZ96)</f>
        <v/>
      </c>
      <c r="BZ186" s="401">
        <f>IF(ISBLANK(Actuals!CA96),-896.43*Escalation!$B$75,Actuals!CA96)</f>
        <v/>
      </c>
      <c r="CA186" s="401">
        <f>IF(ISBLANK(Actuals!CB96),-896.43*Escalation!$B$76,Actuals!CB96)</f>
        <v/>
      </c>
      <c r="CB186" s="401">
        <f>IF(ISBLANK(Actuals!CC96),-896.43*Escalation!$B$77,Actuals!CC96)</f>
        <v/>
      </c>
      <c r="CC186" s="401">
        <f>IF(ISBLANK(Actuals!CD96),-896.43*Escalation!$B$78,Actuals!CD96)</f>
        <v/>
      </c>
      <c r="CD186" s="401">
        <f>IF(ISBLANK(Actuals!CE96),-896.43*Escalation!$B$79,Actuals!CE96)</f>
        <v/>
      </c>
      <c r="CE186" s="401">
        <f>IF(ISBLANK(Actuals!CF96),-896.43*Escalation!$B$80,Actuals!CF96)</f>
        <v/>
      </c>
      <c r="CF186" s="401">
        <f>IF(ISBLANK(Actuals!CG96),-896.43*Escalation!$B$81,Actuals!CG96)</f>
        <v/>
      </c>
      <c r="CG186" s="401">
        <f>IF(ISBLANK(Actuals!CH96),-896.43*Escalation!$B$82,Actuals!CH96)</f>
        <v/>
      </c>
      <c r="CH186" s="401">
        <f>IF(ISBLANK(Actuals!CI96),-896.43*Escalation!$B$83,Actuals!CI96)</f>
        <v/>
      </c>
      <c r="CI186" s="401">
        <f>IF(ISBLANK(Actuals!CJ96),-896.43*Escalation!$B$84,Actuals!CJ96)</f>
        <v/>
      </c>
      <c r="CJ186" s="401">
        <f>IF(ISBLANK(Actuals!CK96),-896.43*Escalation!$B$85,Actuals!CK96)</f>
        <v/>
      </c>
      <c r="CK186" s="401">
        <f>IF(ISBLANK(Actuals!CL96),-896.43*Escalation!$B$86,Actuals!CL96)</f>
        <v/>
      </c>
      <c r="CL186" s="401">
        <f>IF(ISBLANK(Actuals!CM96),-896.43*Escalation!$B$87,Actuals!CM96)</f>
        <v/>
      </c>
      <c r="CM186" s="401">
        <f>IF(ISBLANK(Actuals!CN96),-896.43*Escalation!$B$88,Actuals!CN96)</f>
        <v/>
      </c>
      <c r="CN186" s="401">
        <f>IF(ISBLANK(Actuals!CO96),-896.43*Escalation!$B$89,Actuals!CO96)</f>
        <v/>
      </c>
      <c r="CO186" s="401">
        <f>IF(ISBLANK(Actuals!CP96),-896.43*Escalation!$B$90,Actuals!CP96)</f>
        <v/>
      </c>
      <c r="CP186" s="401">
        <f>IF(ISBLANK(Actuals!CQ96),-896.43*Escalation!$B$91,Actuals!CQ96)</f>
        <v/>
      </c>
      <c r="CQ186" s="401">
        <f>IF(ISBLANK(Actuals!CR96),-896.43*Escalation!$B$92,Actuals!CR96)</f>
        <v/>
      </c>
      <c r="CR186" s="401">
        <f>IF(ISBLANK(Actuals!CS96),-896.43*Escalation!$B$93,Actuals!CS96)</f>
        <v/>
      </c>
      <c r="CS186" s="401">
        <f>IF(ISBLANK(Actuals!CT96),-896.43*Escalation!$B$94,Actuals!CT96)</f>
        <v/>
      </c>
      <c r="CT186" s="401">
        <f>IF(ISBLANK(Actuals!CU96),-896.43*Escalation!$B$95,Actuals!CU96)</f>
        <v/>
      </c>
      <c r="CU186" s="401">
        <f>IF(ISBLANK(Actuals!CV96),-896.43*Escalation!$B$96,Actuals!CV96)</f>
        <v/>
      </c>
      <c r="CV186" s="401">
        <f>IF(ISBLANK(Actuals!CW96),-896.43*Escalation!$B$97,Actuals!CW96)</f>
        <v/>
      </c>
      <c r="CW186" s="401">
        <f>IF(ISBLANK(Actuals!CX96),-896.43*Escalation!$B$98,Actuals!CX96)</f>
        <v/>
      </c>
      <c r="CX186" s="401">
        <f>IF(ISBLANK(Actuals!CY96),-896.43*Escalation!$B$99,Actuals!CY96)</f>
        <v/>
      </c>
      <c r="CY186" s="401">
        <f>IF(ISBLANK(Actuals!CZ96),-896.43*Escalation!$B$100,Actuals!CZ96)</f>
        <v/>
      </c>
      <c r="CZ186" s="401">
        <f>IF(ISBLANK(Actuals!DA96),-896.43*Escalation!$B$101,Actuals!DA96)</f>
        <v/>
      </c>
      <c r="DA186" s="401">
        <f>IF(ISBLANK(Actuals!DB96),-896.43*Escalation!$B$102,Actuals!DB96)</f>
        <v/>
      </c>
      <c r="DB186" s="401">
        <f>IF(ISBLANK(Actuals!DC96),-896.43*Escalation!$B$103,Actuals!DC96)</f>
        <v/>
      </c>
      <c r="DC186" s="401">
        <f>IF(ISBLANK(Actuals!DD96),-896.43*Escalation!$B$104,Actuals!DD96)</f>
        <v/>
      </c>
      <c r="DD186" s="401">
        <f>IF(ISBLANK(Actuals!DE96),-896.43*Escalation!$B$105,Actuals!DE96)</f>
        <v/>
      </c>
      <c r="DE186" s="401">
        <f>IF(ISBLANK(Actuals!DF96),-896.43*Escalation!$B$106,Actuals!DF96)</f>
        <v/>
      </c>
    </row>
    <row r="187" ht="15" customFormat="1" customHeight="1" s="380">
      <c r="A187" s="415" t="inlineStr">
        <is>
          <t>5500-1000 Legal and Professional Fees</t>
        </is>
      </c>
      <c r="B187" s="401">
        <f>IF(ISBLANK(Actuals!C97),0,Actuals!C97)</f>
        <v/>
      </c>
      <c r="C187" s="401">
        <f>IF(ISBLANK(Actuals!D97),0,Actuals!D97)</f>
        <v/>
      </c>
      <c r="D187" s="401">
        <f>IF(ISBLANK(Actuals!E97),0,Actuals!E97)</f>
        <v/>
      </c>
      <c r="E187" s="401">
        <f>IF(ISBLANK(Actuals!F97),-2000*Escalation!$B$2,Actuals!F97)</f>
        <v/>
      </c>
      <c r="F187" s="401">
        <f>IF(ISBLANK(Actuals!G97),-2000*Escalation!$B$3,Actuals!G97)</f>
        <v/>
      </c>
      <c r="G187" s="401">
        <f>IF(ISBLANK(Actuals!H97),-2000*Escalation!$B$4,Actuals!H97)</f>
        <v/>
      </c>
      <c r="H187" s="401">
        <f>IF(ISBLANK(Actuals!I97),-2000*Escalation!$B$5,Actuals!I97)</f>
        <v/>
      </c>
      <c r="I187" s="401">
        <f>IF(ISBLANK(Actuals!J97),-2000*Escalation!$B$6,Actuals!J97)</f>
        <v/>
      </c>
      <c r="J187" s="401">
        <f>IF(ISBLANK(Actuals!K97),-2000*Escalation!$B$7,Actuals!K97)</f>
        <v/>
      </c>
      <c r="K187" s="401">
        <f>IF(ISBLANK(Actuals!L97),-2000*Escalation!$B$8,Actuals!L97)</f>
        <v/>
      </c>
      <c r="L187" s="401">
        <f>IF(ISBLANK(Actuals!M97),-2000*Escalation!$B$9,Actuals!M97)</f>
        <v/>
      </c>
      <c r="M187" s="401">
        <f>IF(ISBLANK(Actuals!N97),-2000*Escalation!$B$10,Actuals!N97)</f>
        <v/>
      </c>
      <c r="N187" s="401">
        <f>IF(ISBLANK(Actuals!O97),-2000*Escalation!$B$11,Actuals!O97)</f>
        <v/>
      </c>
      <c r="O187" s="401">
        <f>IF(ISBLANK(Actuals!P97),-2000*Escalation!$B$12,Actuals!P97)</f>
        <v/>
      </c>
      <c r="P187" s="401">
        <f>IF(ISBLANK(Actuals!Q97),-2000*Escalation!$B$13,Actuals!Q97)</f>
        <v/>
      </c>
      <c r="Q187" s="401">
        <f>IF(ISBLANK(Actuals!R97),-2000*Escalation!$B$14,Actuals!R97)</f>
        <v/>
      </c>
      <c r="R187" s="401">
        <f>IF(ISBLANK(Actuals!S97),-2000*Escalation!$B$15,Actuals!S97)</f>
        <v/>
      </c>
      <c r="S187" s="401">
        <f>IF(ISBLANK(Actuals!T97),-2000*Escalation!$B$16,Actuals!T97)</f>
        <v/>
      </c>
      <c r="T187" s="401">
        <f>IF(ISBLANK(Actuals!U97),-2000*Escalation!$B$17,Actuals!U97)</f>
        <v/>
      </c>
      <c r="U187" s="401">
        <f>IF(ISBLANK(Actuals!V97),-2000*Escalation!$B$18,Actuals!V97)</f>
        <v/>
      </c>
      <c r="V187" s="401">
        <f>IF(ISBLANK(Actuals!W97),-2000*Escalation!$B$19,Actuals!W97)</f>
        <v/>
      </c>
      <c r="W187" s="401">
        <f>IF(ISBLANK(Actuals!X97),-2000*Escalation!$B$20,Actuals!X97)</f>
        <v/>
      </c>
      <c r="X187" s="401">
        <f>IF(ISBLANK(Actuals!Y97),-2000*Escalation!$B$21,Actuals!Y97)</f>
        <v/>
      </c>
      <c r="Y187" s="401">
        <f>IF(ISBLANK(Actuals!Z97),-2000*Escalation!$B$22,Actuals!Z97)</f>
        <v/>
      </c>
      <c r="Z187" s="401">
        <f>IF(ISBLANK(Actuals!AA97),-2000*Escalation!$B$23,Actuals!AA97)</f>
        <v/>
      </c>
      <c r="AA187" s="401">
        <f>IF(ISBLANK(Actuals!AB97),-2000*Escalation!$B$24,Actuals!AB97)</f>
        <v/>
      </c>
      <c r="AB187" s="401">
        <f>IF(ISBLANK(Actuals!AC97),-2000*Escalation!$B$25,Actuals!AC97)</f>
        <v/>
      </c>
      <c r="AC187" s="401">
        <f>IF(ISBLANK(Actuals!AD97),-2000*Escalation!$B$26,Actuals!AD97)</f>
        <v/>
      </c>
      <c r="AD187" s="401">
        <f>IF(ISBLANK(Actuals!AE97),-2000*Escalation!$B$27,Actuals!AE97)</f>
        <v/>
      </c>
      <c r="AE187" s="401">
        <f>IF(ISBLANK(Actuals!AF97),-2000*Escalation!$B$28,Actuals!AF97)</f>
        <v/>
      </c>
      <c r="AF187" s="401">
        <f>IF(ISBLANK(Actuals!AG97),-2000*Escalation!$B$29,Actuals!AG97)</f>
        <v/>
      </c>
      <c r="AG187" s="401">
        <f>IF(ISBLANK(Actuals!AH97),-2000*Escalation!$B$30,Actuals!AH97)</f>
        <v/>
      </c>
      <c r="AH187" s="401">
        <f>IF(ISBLANK(Actuals!AI97),-2000*Escalation!$B$31,Actuals!AI97)</f>
        <v/>
      </c>
      <c r="AI187" s="401">
        <f>IF(ISBLANK(Actuals!AJ97),-2000*Escalation!$B$32,Actuals!AJ97)</f>
        <v/>
      </c>
      <c r="AJ187" s="401">
        <f>IF(ISBLANK(Actuals!AK97),-2000*Escalation!$B$33,Actuals!AK97)</f>
        <v/>
      </c>
      <c r="AK187" s="401">
        <f>IF(ISBLANK(Actuals!AL97),-2000*Escalation!$B$34,Actuals!AL97)</f>
        <v/>
      </c>
      <c r="AL187" s="401">
        <f>IF(ISBLANK(Actuals!AM97),-2000*Escalation!$B$35,Actuals!AM97)</f>
        <v/>
      </c>
      <c r="AM187" s="401">
        <f>IF(ISBLANK(Actuals!AN97),-2000*Escalation!$B$36,Actuals!AN97)</f>
        <v/>
      </c>
      <c r="AN187" s="401">
        <f>IF(ISBLANK(Actuals!AO97),-2000*Escalation!$B$37,Actuals!AO97)</f>
        <v/>
      </c>
      <c r="AO187" s="401">
        <f>IF(ISBLANK(Actuals!AP97),-2000*Escalation!$B$38,Actuals!AP97)</f>
        <v/>
      </c>
      <c r="AP187" s="401">
        <f>IF(ISBLANK(Actuals!AQ97),-2000*Escalation!$B$39,Actuals!AQ97)</f>
        <v/>
      </c>
      <c r="AQ187" s="401">
        <f>IF(ISBLANK(Actuals!AR97),-2000*Escalation!$B$40,Actuals!AR97)</f>
        <v/>
      </c>
      <c r="AR187" s="401">
        <f>IF(ISBLANK(Actuals!AS97),-2000*Escalation!$B$41,Actuals!AS97)</f>
        <v/>
      </c>
      <c r="AS187" s="401">
        <f>IF(ISBLANK(Actuals!AT97),-2000*Escalation!$B$42,Actuals!AT97)</f>
        <v/>
      </c>
      <c r="AT187" s="401">
        <f>IF(ISBLANK(Actuals!AU97),-2000*Escalation!$B$43,Actuals!AU97)</f>
        <v/>
      </c>
      <c r="AU187" s="401">
        <f>IF(ISBLANK(Actuals!AV97),-2000*Escalation!$B$44,Actuals!AV97)</f>
        <v/>
      </c>
      <c r="AV187" s="401">
        <f>IF(ISBLANK(Actuals!AW97),-2000*Escalation!$B$45,Actuals!AW97)</f>
        <v/>
      </c>
      <c r="AW187" s="401">
        <f>IF(ISBLANK(Actuals!AX97),-2000*Escalation!$B$46,Actuals!AX97)</f>
        <v/>
      </c>
      <c r="AX187" s="401">
        <f>IF(ISBLANK(Actuals!AY97),-2000*Escalation!$B$47,Actuals!AY97)</f>
        <v/>
      </c>
      <c r="AY187" s="401">
        <f>IF(ISBLANK(Actuals!AZ97),-2000*Escalation!$B$48,Actuals!AZ97)</f>
        <v/>
      </c>
      <c r="AZ187" s="401">
        <f>IF(ISBLANK(Actuals!BA97),-2000*Escalation!$B$49,Actuals!BA97)</f>
        <v/>
      </c>
      <c r="BA187" s="401">
        <f>IF(ISBLANK(Actuals!BB97),-2000*Escalation!$B$50,Actuals!BB97)</f>
        <v/>
      </c>
      <c r="BB187" s="401">
        <f>IF(ISBLANK(Actuals!BC97),-2000*Escalation!$B$51,Actuals!BC97)</f>
        <v/>
      </c>
      <c r="BC187" s="401">
        <f>IF(ISBLANK(Actuals!BD97),-2000*Escalation!$B$52,Actuals!BD97)</f>
        <v/>
      </c>
      <c r="BD187" s="401">
        <f>IF(ISBLANK(Actuals!BE97),-2000*Escalation!$B$53,Actuals!BE97)</f>
        <v/>
      </c>
      <c r="BE187" s="401">
        <f>IF(ISBLANK(Actuals!BF97),-2000*Escalation!$B$54,Actuals!BF97)</f>
        <v/>
      </c>
      <c r="BF187" s="401">
        <f>IF(ISBLANK(Actuals!BG97),-2000*Escalation!$B$55,Actuals!BG97)</f>
        <v/>
      </c>
      <c r="BG187" s="401">
        <f>IF(ISBLANK(Actuals!BH97),-2000*Escalation!$B$56,Actuals!BH97)</f>
        <v/>
      </c>
      <c r="BH187" s="401">
        <f>IF(ISBLANK(Actuals!BI97),-2000*Escalation!$B$57,Actuals!BI97)</f>
        <v/>
      </c>
      <c r="BI187" s="401">
        <f>IF(ISBLANK(Actuals!BJ97),-2000*Escalation!$B$58,Actuals!BJ97)</f>
        <v/>
      </c>
      <c r="BJ187" s="401">
        <f>IF(ISBLANK(Actuals!BK97),-2000*Escalation!$B$59,Actuals!BK97)</f>
        <v/>
      </c>
      <c r="BK187" s="401">
        <f>IF(ISBLANK(Actuals!BL97),-2000*Escalation!$B$60,Actuals!BL97)</f>
        <v/>
      </c>
      <c r="BL187" s="401">
        <f>IF(ISBLANK(Actuals!BM97),-2000*Escalation!$B$61,Actuals!BM97)</f>
        <v/>
      </c>
      <c r="BM187" s="401">
        <f>IF(ISBLANK(Actuals!BN97),-2000*Escalation!$B$62,Actuals!BN97)</f>
        <v/>
      </c>
      <c r="BN187" s="401">
        <f>IF(ISBLANK(Actuals!BO97),-2000*Escalation!$B$63,Actuals!BO97)</f>
        <v/>
      </c>
      <c r="BO187" s="401">
        <f>IF(ISBLANK(Actuals!BP97),-2000*Escalation!$B$64,Actuals!BP97)</f>
        <v/>
      </c>
      <c r="BP187" s="401">
        <f>IF(ISBLANK(Actuals!BQ97),-2000*Escalation!$B$65,Actuals!BQ97)</f>
        <v/>
      </c>
      <c r="BQ187" s="401">
        <f>IF(ISBLANK(Actuals!BR97),-2000*Escalation!$B$66,Actuals!BR97)</f>
        <v/>
      </c>
      <c r="BR187" s="401">
        <f>IF(ISBLANK(Actuals!BS97),-2000*Escalation!$B$67,Actuals!BS97)</f>
        <v/>
      </c>
      <c r="BS187" s="401">
        <f>IF(ISBLANK(Actuals!BT97),-2000*Escalation!$B$68,Actuals!BT97)</f>
        <v/>
      </c>
      <c r="BT187" s="401">
        <f>IF(ISBLANK(Actuals!BU97),-2000*Escalation!$B$69,Actuals!BU97)</f>
        <v/>
      </c>
      <c r="BU187" s="401">
        <f>IF(ISBLANK(Actuals!BV97),-2000*Escalation!$B$70,Actuals!BV97)</f>
        <v/>
      </c>
      <c r="BV187" s="401">
        <f>IF(ISBLANK(Actuals!BW97),-2000*Escalation!$B$71,Actuals!BW97)</f>
        <v/>
      </c>
      <c r="BW187" s="401">
        <f>IF(ISBLANK(Actuals!BX97),-2000*Escalation!$B$72,Actuals!BX97)</f>
        <v/>
      </c>
      <c r="BX187" s="401">
        <f>IF(ISBLANK(Actuals!BY97),-2000*Escalation!$B$73,Actuals!BY97)</f>
        <v/>
      </c>
      <c r="BY187" s="401">
        <f>IF(ISBLANK(Actuals!BZ97),-2000*Escalation!$B$74,Actuals!BZ97)</f>
        <v/>
      </c>
      <c r="BZ187" s="401">
        <f>IF(ISBLANK(Actuals!CA97),-2000*Escalation!$B$75,Actuals!CA97)</f>
        <v/>
      </c>
      <c r="CA187" s="401">
        <f>IF(ISBLANK(Actuals!CB97),-2000*Escalation!$B$76,Actuals!CB97)</f>
        <v/>
      </c>
      <c r="CB187" s="401">
        <f>IF(ISBLANK(Actuals!CC97),-2000*Escalation!$B$77,Actuals!CC97)</f>
        <v/>
      </c>
      <c r="CC187" s="401">
        <f>IF(ISBLANK(Actuals!CD97),-2000*Escalation!$B$78,Actuals!CD97)</f>
        <v/>
      </c>
      <c r="CD187" s="401">
        <f>IF(ISBLANK(Actuals!CE97),-2000*Escalation!$B$79,Actuals!CE97)</f>
        <v/>
      </c>
      <c r="CE187" s="401">
        <f>IF(ISBLANK(Actuals!CF97),-2000*Escalation!$B$80,Actuals!CF97)</f>
        <v/>
      </c>
      <c r="CF187" s="401">
        <f>IF(ISBLANK(Actuals!CG97),-2000*Escalation!$B$81,Actuals!CG97)</f>
        <v/>
      </c>
      <c r="CG187" s="401">
        <f>IF(ISBLANK(Actuals!CH97),-2000*Escalation!$B$82,Actuals!CH97)</f>
        <v/>
      </c>
      <c r="CH187" s="401">
        <f>IF(ISBLANK(Actuals!CI97),-2000*Escalation!$B$83,Actuals!CI97)</f>
        <v/>
      </c>
      <c r="CI187" s="401">
        <f>IF(ISBLANK(Actuals!CJ97),-2000*Escalation!$B$84,Actuals!CJ97)</f>
        <v/>
      </c>
      <c r="CJ187" s="401">
        <f>IF(ISBLANK(Actuals!CK97),-2000*Escalation!$B$85,Actuals!CK97)</f>
        <v/>
      </c>
      <c r="CK187" s="401">
        <f>IF(ISBLANK(Actuals!CL97),-2000*Escalation!$B$86,Actuals!CL97)</f>
        <v/>
      </c>
      <c r="CL187" s="401">
        <f>IF(ISBLANK(Actuals!CM97),-2000*Escalation!$B$87,Actuals!CM97)</f>
        <v/>
      </c>
      <c r="CM187" s="401">
        <f>IF(ISBLANK(Actuals!CN97),-2000*Escalation!$B$88,Actuals!CN97)</f>
        <v/>
      </c>
      <c r="CN187" s="401">
        <f>IF(ISBLANK(Actuals!CO97),-2000*Escalation!$B$89,Actuals!CO97)</f>
        <v/>
      </c>
      <c r="CO187" s="401">
        <f>IF(ISBLANK(Actuals!CP97),-2000*Escalation!$B$90,Actuals!CP97)</f>
        <v/>
      </c>
      <c r="CP187" s="401">
        <f>IF(ISBLANK(Actuals!CQ97),-2000*Escalation!$B$91,Actuals!CQ97)</f>
        <v/>
      </c>
      <c r="CQ187" s="401">
        <f>IF(ISBLANK(Actuals!CR97),-2000*Escalation!$B$92,Actuals!CR97)</f>
        <v/>
      </c>
      <c r="CR187" s="401">
        <f>IF(ISBLANK(Actuals!CS97),-2000*Escalation!$B$93,Actuals!CS97)</f>
        <v/>
      </c>
      <c r="CS187" s="401">
        <f>IF(ISBLANK(Actuals!CT97),-2000*Escalation!$B$94,Actuals!CT97)</f>
        <v/>
      </c>
      <c r="CT187" s="401">
        <f>IF(ISBLANK(Actuals!CU97),-2000*Escalation!$B$95,Actuals!CU97)</f>
        <v/>
      </c>
      <c r="CU187" s="401">
        <f>IF(ISBLANK(Actuals!CV97),-2000*Escalation!$B$96,Actuals!CV97)</f>
        <v/>
      </c>
      <c r="CV187" s="401">
        <f>IF(ISBLANK(Actuals!CW97),-2000*Escalation!$B$97,Actuals!CW97)</f>
        <v/>
      </c>
      <c r="CW187" s="401">
        <f>IF(ISBLANK(Actuals!CX97),-2000*Escalation!$B$98,Actuals!CX97)</f>
        <v/>
      </c>
      <c r="CX187" s="401">
        <f>IF(ISBLANK(Actuals!CY97),-2000*Escalation!$B$99,Actuals!CY97)</f>
        <v/>
      </c>
      <c r="CY187" s="401">
        <f>IF(ISBLANK(Actuals!CZ97),-2000*Escalation!$B$100,Actuals!CZ97)</f>
        <v/>
      </c>
      <c r="CZ187" s="401">
        <f>IF(ISBLANK(Actuals!DA97),-2000*Escalation!$B$101,Actuals!DA97)</f>
        <v/>
      </c>
      <c r="DA187" s="401">
        <f>IF(ISBLANK(Actuals!DB97),-2000*Escalation!$B$102,Actuals!DB97)</f>
        <v/>
      </c>
      <c r="DB187" s="401">
        <f>IF(ISBLANK(Actuals!DC97),-2000*Escalation!$B$103,Actuals!DC97)</f>
        <v/>
      </c>
      <c r="DC187" s="401">
        <f>IF(ISBLANK(Actuals!DD97),-2000*Escalation!$B$104,Actuals!DD97)</f>
        <v/>
      </c>
      <c r="DD187" s="401">
        <f>IF(ISBLANK(Actuals!DE97),-2000*Escalation!$B$105,Actuals!DE97)</f>
        <v/>
      </c>
      <c r="DE187" s="401">
        <f>IF(ISBLANK(Actuals!DF97),-2000*Escalation!$B$106,Actuals!DF97)</f>
        <v/>
      </c>
    </row>
    <row r="188" ht="15" customFormat="1" customHeight="1" s="380">
      <c r="A188" s="415" t="inlineStr">
        <is>
          <t>5500-1002 Accounting Consulting and Overhead</t>
        </is>
      </c>
      <c r="B188" s="401">
        <f>IF(ISBLANK(Actuals!C98),0,Actuals!C98)</f>
        <v/>
      </c>
      <c r="C188" s="401">
        <f>IF(ISBLANK(Actuals!D98),0,Actuals!D98)</f>
        <v/>
      </c>
      <c r="D188" s="401">
        <f>IF(ISBLANK(Actuals!E98),0,Actuals!E98)</f>
        <v/>
      </c>
      <c r="E188" s="401">
        <f>IF(ISBLANK(Actuals!F98),-2675.39*Escalation!$B$2,Actuals!F98)</f>
        <v/>
      </c>
      <c r="F188" s="401">
        <f>IF(ISBLANK(Actuals!G98),-2675.39*Escalation!$B$3,Actuals!G98)</f>
        <v/>
      </c>
      <c r="G188" s="401">
        <f>IF(ISBLANK(Actuals!H98),-2675.39*Escalation!$B$4,Actuals!H98)</f>
        <v/>
      </c>
      <c r="H188" s="401">
        <f>IF(ISBLANK(Actuals!I98),-2675.39*Escalation!$B$5,Actuals!I98)</f>
        <v/>
      </c>
      <c r="I188" s="401">
        <f>IF(ISBLANK(Actuals!J98),-2675.39*Escalation!$B$6,Actuals!J98)</f>
        <v/>
      </c>
      <c r="J188" s="401">
        <f>IF(ISBLANK(Actuals!K98),-2675.39*Escalation!$B$7,Actuals!K98)</f>
        <v/>
      </c>
      <c r="K188" s="401">
        <f>IF(ISBLANK(Actuals!L98),-2675.39*Escalation!$B$8,Actuals!L98)</f>
        <v/>
      </c>
      <c r="L188" s="401">
        <f>IF(ISBLANK(Actuals!M98),-2675.39*Escalation!$B$9,Actuals!M98)</f>
        <v/>
      </c>
      <c r="M188" s="401">
        <f>IF(ISBLANK(Actuals!N98),-2675.39*Escalation!$B$10,Actuals!N98)</f>
        <v/>
      </c>
      <c r="N188" s="401">
        <f>IF(ISBLANK(Actuals!O98),-2675.39*Escalation!$B$11,Actuals!O98)</f>
        <v/>
      </c>
      <c r="O188" s="401">
        <f>IF(ISBLANK(Actuals!P98),-2675.39*Escalation!$B$12,Actuals!P98)</f>
        <v/>
      </c>
      <c r="P188" s="401">
        <f>IF(ISBLANK(Actuals!Q98),-2675.39*Escalation!$B$13,Actuals!Q98)</f>
        <v/>
      </c>
      <c r="Q188" s="401">
        <f>IF(ISBLANK(Actuals!R98),-2675.39*Escalation!$B$14,Actuals!R98)</f>
        <v/>
      </c>
      <c r="R188" s="401">
        <f>IF(ISBLANK(Actuals!S98),-2675.39*Escalation!$B$15,Actuals!S98)</f>
        <v/>
      </c>
      <c r="S188" s="401">
        <f>IF(ISBLANK(Actuals!T98),-2675.39*Escalation!$B$16,Actuals!T98)</f>
        <v/>
      </c>
      <c r="T188" s="401">
        <f>IF(ISBLANK(Actuals!U98),-2675.39*Escalation!$B$17,Actuals!U98)</f>
        <v/>
      </c>
      <c r="U188" s="401">
        <f>IF(ISBLANK(Actuals!V98),-2675.39*Escalation!$B$18,Actuals!V98)</f>
        <v/>
      </c>
      <c r="V188" s="401">
        <f>IF(ISBLANK(Actuals!W98),-2675.39*Escalation!$B$19,Actuals!W98)</f>
        <v/>
      </c>
      <c r="W188" s="401">
        <f>IF(ISBLANK(Actuals!X98),-2675.39*Escalation!$B$20,Actuals!X98)</f>
        <v/>
      </c>
      <c r="X188" s="401">
        <f>IF(ISBLANK(Actuals!Y98),-2675.39*Escalation!$B$21,Actuals!Y98)</f>
        <v/>
      </c>
      <c r="Y188" s="401">
        <f>IF(ISBLANK(Actuals!Z98),-2675.39*Escalation!$B$22,Actuals!Z98)</f>
        <v/>
      </c>
      <c r="Z188" s="401">
        <f>IF(ISBLANK(Actuals!AA98),-2675.39*Escalation!$B$23,Actuals!AA98)</f>
        <v/>
      </c>
      <c r="AA188" s="401">
        <f>IF(ISBLANK(Actuals!AB98),-2675.39*Escalation!$B$24,Actuals!AB98)</f>
        <v/>
      </c>
      <c r="AB188" s="401">
        <f>IF(ISBLANK(Actuals!AC98),-2675.39*Escalation!$B$25,Actuals!AC98)</f>
        <v/>
      </c>
      <c r="AC188" s="401">
        <f>IF(ISBLANK(Actuals!AD98),-2675.39*Escalation!$B$26,Actuals!AD98)</f>
        <v/>
      </c>
      <c r="AD188" s="401">
        <f>IF(ISBLANK(Actuals!AE98),-2675.39*Escalation!$B$27,Actuals!AE98)</f>
        <v/>
      </c>
      <c r="AE188" s="401">
        <f>IF(ISBLANK(Actuals!AF98),-2675.39*Escalation!$B$28,Actuals!AF98)</f>
        <v/>
      </c>
      <c r="AF188" s="401">
        <f>IF(ISBLANK(Actuals!AG98),-2675.39*Escalation!$B$29,Actuals!AG98)</f>
        <v/>
      </c>
      <c r="AG188" s="401">
        <f>IF(ISBLANK(Actuals!AH98),-2675.39*Escalation!$B$30,Actuals!AH98)</f>
        <v/>
      </c>
      <c r="AH188" s="401">
        <f>IF(ISBLANK(Actuals!AI98),-2675.39*Escalation!$B$31,Actuals!AI98)</f>
        <v/>
      </c>
      <c r="AI188" s="401">
        <f>IF(ISBLANK(Actuals!AJ98),-2675.39*Escalation!$B$32,Actuals!AJ98)</f>
        <v/>
      </c>
      <c r="AJ188" s="401">
        <f>IF(ISBLANK(Actuals!AK98),-2675.39*Escalation!$B$33,Actuals!AK98)</f>
        <v/>
      </c>
      <c r="AK188" s="401">
        <f>IF(ISBLANK(Actuals!AL98),-2675.39*Escalation!$B$34,Actuals!AL98)</f>
        <v/>
      </c>
      <c r="AL188" s="401">
        <f>IF(ISBLANK(Actuals!AM98),-2675.39*Escalation!$B$35,Actuals!AM98)</f>
        <v/>
      </c>
      <c r="AM188" s="401">
        <f>IF(ISBLANK(Actuals!AN98),-2675.39*Escalation!$B$36,Actuals!AN98)</f>
        <v/>
      </c>
      <c r="AN188" s="401">
        <f>IF(ISBLANK(Actuals!AO98),-2675.39*Escalation!$B$37,Actuals!AO98)</f>
        <v/>
      </c>
      <c r="AO188" s="401">
        <f>IF(ISBLANK(Actuals!AP98),-2675.39*Escalation!$B$38,Actuals!AP98)</f>
        <v/>
      </c>
      <c r="AP188" s="401">
        <f>IF(ISBLANK(Actuals!AQ98),-2675.39*Escalation!$B$39,Actuals!AQ98)</f>
        <v/>
      </c>
      <c r="AQ188" s="401">
        <f>IF(ISBLANK(Actuals!AR98),-2675.39*Escalation!$B$40,Actuals!AR98)</f>
        <v/>
      </c>
      <c r="AR188" s="401">
        <f>IF(ISBLANK(Actuals!AS98),-2675.39*Escalation!$B$41,Actuals!AS98)</f>
        <v/>
      </c>
      <c r="AS188" s="401">
        <f>IF(ISBLANK(Actuals!AT98),-2675.39*Escalation!$B$42,Actuals!AT98)</f>
        <v/>
      </c>
      <c r="AT188" s="401">
        <f>IF(ISBLANK(Actuals!AU98),-2675.39*Escalation!$B$43,Actuals!AU98)</f>
        <v/>
      </c>
      <c r="AU188" s="401">
        <f>IF(ISBLANK(Actuals!AV98),-2675.39*Escalation!$B$44,Actuals!AV98)</f>
        <v/>
      </c>
      <c r="AV188" s="401">
        <f>IF(ISBLANK(Actuals!AW98),-2675.39*Escalation!$B$45,Actuals!AW98)</f>
        <v/>
      </c>
      <c r="AW188" s="401">
        <f>IF(ISBLANK(Actuals!AX98),-2675.39*Escalation!$B$46,Actuals!AX98)</f>
        <v/>
      </c>
      <c r="AX188" s="401">
        <f>IF(ISBLANK(Actuals!AY98),-2675.39*Escalation!$B$47,Actuals!AY98)</f>
        <v/>
      </c>
      <c r="AY188" s="401">
        <f>IF(ISBLANK(Actuals!AZ98),-2675.39*Escalation!$B$48,Actuals!AZ98)</f>
        <v/>
      </c>
      <c r="AZ188" s="401">
        <f>IF(ISBLANK(Actuals!BA98),-2675.39*Escalation!$B$49,Actuals!BA98)</f>
        <v/>
      </c>
      <c r="BA188" s="401">
        <f>IF(ISBLANK(Actuals!BB98),-2675.39*Escalation!$B$50,Actuals!BB98)</f>
        <v/>
      </c>
      <c r="BB188" s="401">
        <f>IF(ISBLANK(Actuals!BC98),-2675.39*Escalation!$B$51,Actuals!BC98)</f>
        <v/>
      </c>
      <c r="BC188" s="401">
        <f>IF(ISBLANK(Actuals!BD98),-2675.39*Escalation!$B$52,Actuals!BD98)</f>
        <v/>
      </c>
      <c r="BD188" s="401">
        <f>IF(ISBLANK(Actuals!BE98),-2675.39*Escalation!$B$53,Actuals!BE98)</f>
        <v/>
      </c>
      <c r="BE188" s="401">
        <f>IF(ISBLANK(Actuals!BF98),-2675.39*Escalation!$B$54,Actuals!BF98)</f>
        <v/>
      </c>
      <c r="BF188" s="401">
        <f>IF(ISBLANK(Actuals!BG98),-2675.39*Escalation!$B$55,Actuals!BG98)</f>
        <v/>
      </c>
      <c r="BG188" s="401">
        <f>IF(ISBLANK(Actuals!BH98),-2675.39*Escalation!$B$56,Actuals!BH98)</f>
        <v/>
      </c>
      <c r="BH188" s="401">
        <f>IF(ISBLANK(Actuals!BI98),-2675.39*Escalation!$B$57,Actuals!BI98)</f>
        <v/>
      </c>
      <c r="BI188" s="401">
        <f>IF(ISBLANK(Actuals!BJ98),-2675.39*Escalation!$B$58,Actuals!BJ98)</f>
        <v/>
      </c>
      <c r="BJ188" s="401">
        <f>IF(ISBLANK(Actuals!BK98),-2675.39*Escalation!$B$59,Actuals!BK98)</f>
        <v/>
      </c>
      <c r="BK188" s="401">
        <f>IF(ISBLANK(Actuals!BL98),-2675.39*Escalation!$B$60,Actuals!BL98)</f>
        <v/>
      </c>
      <c r="BL188" s="401">
        <f>IF(ISBLANK(Actuals!BM98),-2675.39*Escalation!$B$61,Actuals!BM98)</f>
        <v/>
      </c>
      <c r="BM188" s="401">
        <f>IF(ISBLANK(Actuals!BN98),-2675.39*Escalation!$B$62,Actuals!BN98)</f>
        <v/>
      </c>
      <c r="BN188" s="401">
        <f>IF(ISBLANK(Actuals!BO98),-2675.39*Escalation!$B$63,Actuals!BO98)</f>
        <v/>
      </c>
      <c r="BO188" s="401">
        <f>IF(ISBLANK(Actuals!BP98),-2675.39*Escalation!$B$64,Actuals!BP98)</f>
        <v/>
      </c>
      <c r="BP188" s="401">
        <f>IF(ISBLANK(Actuals!BQ98),-2675.39*Escalation!$B$65,Actuals!BQ98)</f>
        <v/>
      </c>
      <c r="BQ188" s="401">
        <f>IF(ISBLANK(Actuals!BR98),-2675.39*Escalation!$B$66,Actuals!BR98)</f>
        <v/>
      </c>
      <c r="BR188" s="401">
        <f>IF(ISBLANK(Actuals!BS98),-2675.39*Escalation!$B$67,Actuals!BS98)</f>
        <v/>
      </c>
      <c r="BS188" s="401">
        <f>IF(ISBLANK(Actuals!BT98),-2675.39*Escalation!$B$68,Actuals!BT98)</f>
        <v/>
      </c>
      <c r="BT188" s="401">
        <f>IF(ISBLANK(Actuals!BU98),-2675.39*Escalation!$B$69,Actuals!BU98)</f>
        <v/>
      </c>
      <c r="BU188" s="401">
        <f>IF(ISBLANK(Actuals!BV98),-2675.39*Escalation!$B$70,Actuals!BV98)</f>
        <v/>
      </c>
      <c r="BV188" s="401">
        <f>IF(ISBLANK(Actuals!BW98),-2675.39*Escalation!$B$71,Actuals!BW98)</f>
        <v/>
      </c>
      <c r="BW188" s="401">
        <f>IF(ISBLANK(Actuals!BX98),-2675.39*Escalation!$B$72,Actuals!BX98)</f>
        <v/>
      </c>
      <c r="BX188" s="401">
        <f>IF(ISBLANK(Actuals!BY98),-2675.39*Escalation!$B$73,Actuals!BY98)</f>
        <v/>
      </c>
      <c r="BY188" s="401">
        <f>IF(ISBLANK(Actuals!BZ98),-2675.39*Escalation!$B$74,Actuals!BZ98)</f>
        <v/>
      </c>
      <c r="BZ188" s="401">
        <f>IF(ISBLANK(Actuals!CA98),-2675.39*Escalation!$B$75,Actuals!CA98)</f>
        <v/>
      </c>
      <c r="CA188" s="401">
        <f>IF(ISBLANK(Actuals!CB98),-2675.39*Escalation!$B$76,Actuals!CB98)</f>
        <v/>
      </c>
      <c r="CB188" s="401">
        <f>IF(ISBLANK(Actuals!CC98),-2675.39*Escalation!$B$77,Actuals!CC98)</f>
        <v/>
      </c>
      <c r="CC188" s="401">
        <f>IF(ISBLANK(Actuals!CD98),-2675.39*Escalation!$B$78,Actuals!CD98)</f>
        <v/>
      </c>
      <c r="CD188" s="401">
        <f>IF(ISBLANK(Actuals!CE98),-2675.39*Escalation!$B$79,Actuals!CE98)</f>
        <v/>
      </c>
      <c r="CE188" s="401">
        <f>IF(ISBLANK(Actuals!CF98),-2675.39*Escalation!$B$80,Actuals!CF98)</f>
        <v/>
      </c>
      <c r="CF188" s="401">
        <f>IF(ISBLANK(Actuals!CG98),-2675.39*Escalation!$B$81,Actuals!CG98)</f>
        <v/>
      </c>
      <c r="CG188" s="401">
        <f>IF(ISBLANK(Actuals!CH98),-2675.39*Escalation!$B$82,Actuals!CH98)</f>
        <v/>
      </c>
      <c r="CH188" s="401">
        <f>IF(ISBLANK(Actuals!CI98),-2675.39*Escalation!$B$83,Actuals!CI98)</f>
        <v/>
      </c>
      <c r="CI188" s="401">
        <f>IF(ISBLANK(Actuals!CJ98),-2675.39*Escalation!$B$84,Actuals!CJ98)</f>
        <v/>
      </c>
      <c r="CJ188" s="401">
        <f>IF(ISBLANK(Actuals!CK98),-2675.39*Escalation!$B$85,Actuals!CK98)</f>
        <v/>
      </c>
      <c r="CK188" s="401">
        <f>IF(ISBLANK(Actuals!CL98),-2675.39*Escalation!$B$86,Actuals!CL98)</f>
        <v/>
      </c>
      <c r="CL188" s="401">
        <f>IF(ISBLANK(Actuals!CM98),-2675.39*Escalation!$B$87,Actuals!CM98)</f>
        <v/>
      </c>
      <c r="CM188" s="401">
        <f>IF(ISBLANK(Actuals!CN98),-2675.39*Escalation!$B$88,Actuals!CN98)</f>
        <v/>
      </c>
      <c r="CN188" s="401">
        <f>IF(ISBLANK(Actuals!CO98),-2675.39*Escalation!$B$89,Actuals!CO98)</f>
        <v/>
      </c>
      <c r="CO188" s="401">
        <f>IF(ISBLANK(Actuals!CP98),-2675.39*Escalation!$B$90,Actuals!CP98)</f>
        <v/>
      </c>
      <c r="CP188" s="401">
        <f>IF(ISBLANK(Actuals!CQ98),-2675.39*Escalation!$B$91,Actuals!CQ98)</f>
        <v/>
      </c>
      <c r="CQ188" s="401">
        <f>IF(ISBLANK(Actuals!CR98),-2675.39*Escalation!$B$92,Actuals!CR98)</f>
        <v/>
      </c>
      <c r="CR188" s="401">
        <f>IF(ISBLANK(Actuals!CS98),-2675.39*Escalation!$B$93,Actuals!CS98)</f>
        <v/>
      </c>
      <c r="CS188" s="401">
        <f>IF(ISBLANK(Actuals!CT98),-2675.39*Escalation!$B$94,Actuals!CT98)</f>
        <v/>
      </c>
      <c r="CT188" s="401">
        <f>IF(ISBLANK(Actuals!CU98),-2675.39*Escalation!$B$95,Actuals!CU98)</f>
        <v/>
      </c>
      <c r="CU188" s="401">
        <f>IF(ISBLANK(Actuals!CV98),-2675.39*Escalation!$B$96,Actuals!CV98)</f>
        <v/>
      </c>
      <c r="CV188" s="401">
        <f>IF(ISBLANK(Actuals!CW98),-2675.39*Escalation!$B$97,Actuals!CW98)</f>
        <v/>
      </c>
      <c r="CW188" s="401">
        <f>IF(ISBLANK(Actuals!CX98),-2675.39*Escalation!$B$98,Actuals!CX98)</f>
        <v/>
      </c>
      <c r="CX188" s="401">
        <f>IF(ISBLANK(Actuals!CY98),-2675.39*Escalation!$B$99,Actuals!CY98)</f>
        <v/>
      </c>
      <c r="CY188" s="401">
        <f>IF(ISBLANK(Actuals!CZ98),-2675.39*Escalation!$B$100,Actuals!CZ98)</f>
        <v/>
      </c>
      <c r="CZ188" s="401">
        <f>IF(ISBLANK(Actuals!DA98),-2675.39*Escalation!$B$101,Actuals!DA98)</f>
        <v/>
      </c>
      <c r="DA188" s="401">
        <f>IF(ISBLANK(Actuals!DB98),-2675.39*Escalation!$B$102,Actuals!DB98)</f>
        <v/>
      </c>
      <c r="DB188" s="401">
        <f>IF(ISBLANK(Actuals!DC98),-2675.39*Escalation!$B$103,Actuals!DC98)</f>
        <v/>
      </c>
      <c r="DC188" s="401">
        <f>IF(ISBLANK(Actuals!DD98),-2675.39*Escalation!$B$104,Actuals!DD98)</f>
        <v/>
      </c>
      <c r="DD188" s="401">
        <f>IF(ISBLANK(Actuals!DE98),-2675.39*Escalation!$B$105,Actuals!DE98)</f>
        <v/>
      </c>
      <c r="DE188" s="401">
        <f>IF(ISBLANK(Actuals!DF98),-2675.39*Escalation!$B$106,Actuals!DF98)</f>
        <v/>
      </c>
    </row>
    <row r="189" ht="15" customFormat="1" customHeight="1" s="380">
      <c r="A189" s="415" t="inlineStr">
        <is>
          <t>5500-1004 Consultants and Other Professional Expenses</t>
        </is>
      </c>
      <c r="B189" s="401">
        <f>IF(ISBLANK(Actuals!C99),0,Actuals!C99)</f>
        <v/>
      </c>
      <c r="C189" s="401">
        <f>IF(ISBLANK(Actuals!D99),0,Actuals!D99)</f>
        <v/>
      </c>
      <c r="D189" s="401">
        <f>IF(ISBLANK(Actuals!E99),0,Actuals!E99)</f>
        <v/>
      </c>
      <c r="E189" s="401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1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1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1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1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1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1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1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1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1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1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1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1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1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1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1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1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1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1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1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1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1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1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1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1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1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1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1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1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1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1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1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1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1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1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1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1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1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1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1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1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1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1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1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1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1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1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1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1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1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1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1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1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1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1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1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1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1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1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1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1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1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1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1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1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1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1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1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1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1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1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1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1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1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1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1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1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1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1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1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1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1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1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1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1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1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1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1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1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1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1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1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1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1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1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1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1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1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1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1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1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1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1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1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1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Format="1" customHeight="1" s="380">
      <c r="A190" s="415" t="inlineStr">
        <is>
          <t>5500-1007 Dues and Subscriptions</t>
        </is>
      </c>
      <c r="B190" s="401">
        <f>IF(ISBLANK(Actuals!C100),0,Actuals!C100)</f>
        <v/>
      </c>
      <c r="C190" s="401">
        <f>IF(ISBLANK(Actuals!D100),0,Actuals!D100)</f>
        <v/>
      </c>
      <c r="D190" s="401">
        <f>IF(ISBLANK(Actuals!E100),0,Actuals!E100)</f>
        <v/>
      </c>
      <c r="E190" s="401">
        <f>IF(ISBLANK(Actuals!F100),-1586.17*Escalation!$B$2,Actuals!F100)</f>
        <v/>
      </c>
      <c r="F190" s="401">
        <f>IF(ISBLANK(Actuals!G100),-1586.17*Escalation!$B$3,Actuals!G100)</f>
        <v/>
      </c>
      <c r="G190" s="401">
        <f>IF(ISBLANK(Actuals!H100),-1586.17*Escalation!$B$4,Actuals!H100)</f>
        <v/>
      </c>
      <c r="H190" s="401">
        <f>IF(ISBLANK(Actuals!I100),-1586.17*Escalation!$B$5,Actuals!I100)</f>
        <v/>
      </c>
      <c r="I190" s="401">
        <f>IF(ISBLANK(Actuals!J100),-1586.17*Escalation!$B$6,Actuals!J100)</f>
        <v/>
      </c>
      <c r="J190" s="401">
        <f>IF(ISBLANK(Actuals!K100),-1586.17*Escalation!$B$7,Actuals!K100)</f>
        <v/>
      </c>
      <c r="K190" s="401">
        <f>IF(ISBLANK(Actuals!L100),-1586.17*Escalation!$B$8,Actuals!L100)</f>
        <v/>
      </c>
      <c r="L190" s="401">
        <f>IF(ISBLANK(Actuals!M100),-1586.17*Escalation!$B$9,Actuals!M100)</f>
        <v/>
      </c>
      <c r="M190" s="401">
        <f>IF(ISBLANK(Actuals!N100),-1586.17*Escalation!$B$10,Actuals!N100)</f>
        <v/>
      </c>
      <c r="N190" s="401">
        <f>IF(ISBLANK(Actuals!O100),-1586.17*Escalation!$B$11,Actuals!O100)</f>
        <v/>
      </c>
      <c r="O190" s="401">
        <f>IF(ISBLANK(Actuals!P100),-1586.17*Escalation!$B$12,Actuals!P100)</f>
        <v/>
      </c>
      <c r="P190" s="401">
        <f>IF(ISBLANK(Actuals!Q100),-1586.17*Escalation!$B$13,Actuals!Q100)</f>
        <v/>
      </c>
      <c r="Q190" s="401">
        <f>IF(ISBLANK(Actuals!R100),-1586.17*Escalation!$B$14,Actuals!R100)</f>
        <v/>
      </c>
      <c r="R190" s="401">
        <f>IF(ISBLANK(Actuals!S100),-1586.17*Escalation!$B$15,Actuals!S100)</f>
        <v/>
      </c>
      <c r="S190" s="401">
        <f>IF(ISBLANK(Actuals!T100),-1586.17*Escalation!$B$16,Actuals!T100)</f>
        <v/>
      </c>
      <c r="T190" s="401">
        <f>IF(ISBLANK(Actuals!U100),-1586.17*Escalation!$B$17,Actuals!U100)</f>
        <v/>
      </c>
      <c r="U190" s="401">
        <f>IF(ISBLANK(Actuals!V100),-1586.17*Escalation!$B$18,Actuals!V100)</f>
        <v/>
      </c>
      <c r="V190" s="401">
        <f>IF(ISBLANK(Actuals!W100),-1586.17*Escalation!$B$19,Actuals!W100)</f>
        <v/>
      </c>
      <c r="W190" s="401">
        <f>IF(ISBLANK(Actuals!X100),-1586.17*Escalation!$B$20,Actuals!X100)</f>
        <v/>
      </c>
      <c r="X190" s="401">
        <f>IF(ISBLANK(Actuals!Y100),-1586.17*Escalation!$B$21,Actuals!Y100)</f>
        <v/>
      </c>
      <c r="Y190" s="401">
        <f>IF(ISBLANK(Actuals!Z100),-1586.17*Escalation!$B$22,Actuals!Z100)</f>
        <v/>
      </c>
      <c r="Z190" s="401">
        <f>IF(ISBLANK(Actuals!AA100),-1586.17*Escalation!$B$23,Actuals!AA100)</f>
        <v/>
      </c>
      <c r="AA190" s="401">
        <f>IF(ISBLANK(Actuals!AB100),-1586.17*Escalation!$B$24,Actuals!AB100)</f>
        <v/>
      </c>
      <c r="AB190" s="401">
        <f>IF(ISBLANK(Actuals!AC100),-1586.17*Escalation!$B$25,Actuals!AC100)</f>
        <v/>
      </c>
      <c r="AC190" s="401">
        <f>IF(ISBLANK(Actuals!AD100),-1586.17*Escalation!$B$26,Actuals!AD100)</f>
        <v/>
      </c>
      <c r="AD190" s="401">
        <f>IF(ISBLANK(Actuals!AE100),-1586.17*Escalation!$B$27,Actuals!AE100)</f>
        <v/>
      </c>
      <c r="AE190" s="401">
        <f>IF(ISBLANK(Actuals!AF100),-1586.17*Escalation!$B$28,Actuals!AF100)</f>
        <v/>
      </c>
      <c r="AF190" s="401">
        <f>IF(ISBLANK(Actuals!AG100),-1586.17*Escalation!$B$29,Actuals!AG100)</f>
        <v/>
      </c>
      <c r="AG190" s="401">
        <f>IF(ISBLANK(Actuals!AH100),-1586.17*Escalation!$B$30,Actuals!AH100)</f>
        <v/>
      </c>
      <c r="AH190" s="401">
        <f>IF(ISBLANK(Actuals!AI100),-1586.17*Escalation!$B$31,Actuals!AI100)</f>
        <v/>
      </c>
      <c r="AI190" s="401">
        <f>IF(ISBLANK(Actuals!AJ100),-1586.17*Escalation!$B$32,Actuals!AJ100)</f>
        <v/>
      </c>
      <c r="AJ190" s="401">
        <f>IF(ISBLANK(Actuals!AK100),-1586.17*Escalation!$B$33,Actuals!AK100)</f>
        <v/>
      </c>
      <c r="AK190" s="401">
        <f>IF(ISBLANK(Actuals!AL100),-1586.17*Escalation!$B$34,Actuals!AL100)</f>
        <v/>
      </c>
      <c r="AL190" s="401">
        <f>IF(ISBLANK(Actuals!AM100),-1586.17*Escalation!$B$35,Actuals!AM100)</f>
        <v/>
      </c>
      <c r="AM190" s="401">
        <f>IF(ISBLANK(Actuals!AN100),-1586.17*Escalation!$B$36,Actuals!AN100)</f>
        <v/>
      </c>
      <c r="AN190" s="401">
        <f>IF(ISBLANK(Actuals!AO100),-1586.17*Escalation!$B$37,Actuals!AO100)</f>
        <v/>
      </c>
      <c r="AO190" s="401">
        <f>IF(ISBLANK(Actuals!AP100),-1586.17*Escalation!$B$38,Actuals!AP100)</f>
        <v/>
      </c>
      <c r="AP190" s="401">
        <f>IF(ISBLANK(Actuals!AQ100),-1586.17*Escalation!$B$39,Actuals!AQ100)</f>
        <v/>
      </c>
      <c r="AQ190" s="401">
        <f>IF(ISBLANK(Actuals!AR100),-1586.17*Escalation!$B$40,Actuals!AR100)</f>
        <v/>
      </c>
      <c r="AR190" s="401">
        <f>IF(ISBLANK(Actuals!AS100),-1586.17*Escalation!$B$41,Actuals!AS100)</f>
        <v/>
      </c>
      <c r="AS190" s="401">
        <f>IF(ISBLANK(Actuals!AT100),-1586.17*Escalation!$B$42,Actuals!AT100)</f>
        <v/>
      </c>
      <c r="AT190" s="401">
        <f>IF(ISBLANK(Actuals!AU100),-1586.17*Escalation!$B$43,Actuals!AU100)</f>
        <v/>
      </c>
      <c r="AU190" s="401">
        <f>IF(ISBLANK(Actuals!AV100),-1586.17*Escalation!$B$44,Actuals!AV100)</f>
        <v/>
      </c>
      <c r="AV190" s="401">
        <f>IF(ISBLANK(Actuals!AW100),-1586.17*Escalation!$B$45,Actuals!AW100)</f>
        <v/>
      </c>
      <c r="AW190" s="401">
        <f>IF(ISBLANK(Actuals!AX100),-1586.17*Escalation!$B$46,Actuals!AX100)</f>
        <v/>
      </c>
      <c r="AX190" s="401">
        <f>IF(ISBLANK(Actuals!AY100),-1586.17*Escalation!$B$47,Actuals!AY100)</f>
        <v/>
      </c>
      <c r="AY190" s="401">
        <f>IF(ISBLANK(Actuals!AZ100),-1586.17*Escalation!$B$48,Actuals!AZ100)</f>
        <v/>
      </c>
      <c r="AZ190" s="401">
        <f>IF(ISBLANK(Actuals!BA100),-1586.17*Escalation!$B$49,Actuals!BA100)</f>
        <v/>
      </c>
      <c r="BA190" s="401">
        <f>IF(ISBLANK(Actuals!BB100),-1586.17*Escalation!$B$50,Actuals!BB100)</f>
        <v/>
      </c>
      <c r="BB190" s="401">
        <f>IF(ISBLANK(Actuals!BC100),-1586.17*Escalation!$B$51,Actuals!BC100)</f>
        <v/>
      </c>
      <c r="BC190" s="401">
        <f>IF(ISBLANK(Actuals!BD100),-1586.17*Escalation!$B$52,Actuals!BD100)</f>
        <v/>
      </c>
      <c r="BD190" s="401">
        <f>IF(ISBLANK(Actuals!BE100),-1586.17*Escalation!$B$53,Actuals!BE100)</f>
        <v/>
      </c>
      <c r="BE190" s="401">
        <f>IF(ISBLANK(Actuals!BF100),-1586.17*Escalation!$B$54,Actuals!BF100)</f>
        <v/>
      </c>
      <c r="BF190" s="401">
        <f>IF(ISBLANK(Actuals!BG100),-1586.17*Escalation!$B$55,Actuals!BG100)</f>
        <v/>
      </c>
      <c r="BG190" s="401">
        <f>IF(ISBLANK(Actuals!BH100),-1586.17*Escalation!$B$56,Actuals!BH100)</f>
        <v/>
      </c>
      <c r="BH190" s="401">
        <f>IF(ISBLANK(Actuals!BI100),-1586.17*Escalation!$B$57,Actuals!BI100)</f>
        <v/>
      </c>
      <c r="BI190" s="401">
        <f>IF(ISBLANK(Actuals!BJ100),-1586.17*Escalation!$B$58,Actuals!BJ100)</f>
        <v/>
      </c>
      <c r="BJ190" s="401">
        <f>IF(ISBLANK(Actuals!BK100),-1586.17*Escalation!$B$59,Actuals!BK100)</f>
        <v/>
      </c>
      <c r="BK190" s="401">
        <f>IF(ISBLANK(Actuals!BL100),-1586.17*Escalation!$B$60,Actuals!BL100)</f>
        <v/>
      </c>
      <c r="BL190" s="401">
        <f>IF(ISBLANK(Actuals!BM100),-1586.17*Escalation!$B$61,Actuals!BM100)</f>
        <v/>
      </c>
      <c r="BM190" s="401">
        <f>IF(ISBLANK(Actuals!BN100),-1586.17*Escalation!$B$62,Actuals!BN100)</f>
        <v/>
      </c>
      <c r="BN190" s="401">
        <f>IF(ISBLANK(Actuals!BO100),-1586.17*Escalation!$B$63,Actuals!BO100)</f>
        <v/>
      </c>
      <c r="BO190" s="401">
        <f>IF(ISBLANK(Actuals!BP100),-1586.17*Escalation!$B$64,Actuals!BP100)</f>
        <v/>
      </c>
      <c r="BP190" s="401">
        <f>IF(ISBLANK(Actuals!BQ100),-1586.17*Escalation!$B$65,Actuals!BQ100)</f>
        <v/>
      </c>
      <c r="BQ190" s="401">
        <f>IF(ISBLANK(Actuals!BR100),-1586.17*Escalation!$B$66,Actuals!BR100)</f>
        <v/>
      </c>
      <c r="BR190" s="401">
        <f>IF(ISBLANK(Actuals!BS100),-1586.17*Escalation!$B$67,Actuals!BS100)</f>
        <v/>
      </c>
      <c r="BS190" s="401">
        <f>IF(ISBLANK(Actuals!BT100),-1586.17*Escalation!$B$68,Actuals!BT100)</f>
        <v/>
      </c>
      <c r="BT190" s="401">
        <f>IF(ISBLANK(Actuals!BU100),-1586.17*Escalation!$B$69,Actuals!BU100)</f>
        <v/>
      </c>
      <c r="BU190" s="401">
        <f>IF(ISBLANK(Actuals!BV100),-1586.17*Escalation!$B$70,Actuals!BV100)</f>
        <v/>
      </c>
      <c r="BV190" s="401">
        <f>IF(ISBLANK(Actuals!BW100),-1586.17*Escalation!$B$71,Actuals!BW100)</f>
        <v/>
      </c>
      <c r="BW190" s="401">
        <f>IF(ISBLANK(Actuals!BX100),-1586.17*Escalation!$B$72,Actuals!BX100)</f>
        <v/>
      </c>
      <c r="BX190" s="401">
        <f>IF(ISBLANK(Actuals!BY100),-1586.17*Escalation!$B$73,Actuals!BY100)</f>
        <v/>
      </c>
      <c r="BY190" s="401">
        <f>IF(ISBLANK(Actuals!BZ100),-1586.17*Escalation!$B$74,Actuals!BZ100)</f>
        <v/>
      </c>
      <c r="BZ190" s="401">
        <f>IF(ISBLANK(Actuals!CA100),-1586.17*Escalation!$B$75,Actuals!CA100)</f>
        <v/>
      </c>
      <c r="CA190" s="401">
        <f>IF(ISBLANK(Actuals!CB100),-1586.17*Escalation!$B$76,Actuals!CB100)</f>
        <v/>
      </c>
      <c r="CB190" s="401">
        <f>IF(ISBLANK(Actuals!CC100),-1586.17*Escalation!$B$77,Actuals!CC100)</f>
        <v/>
      </c>
      <c r="CC190" s="401">
        <f>IF(ISBLANK(Actuals!CD100),-1586.17*Escalation!$B$78,Actuals!CD100)</f>
        <v/>
      </c>
      <c r="CD190" s="401">
        <f>IF(ISBLANK(Actuals!CE100),-1586.17*Escalation!$B$79,Actuals!CE100)</f>
        <v/>
      </c>
      <c r="CE190" s="401">
        <f>IF(ISBLANK(Actuals!CF100),-1586.17*Escalation!$B$80,Actuals!CF100)</f>
        <v/>
      </c>
      <c r="CF190" s="401">
        <f>IF(ISBLANK(Actuals!CG100),-1586.17*Escalation!$B$81,Actuals!CG100)</f>
        <v/>
      </c>
      <c r="CG190" s="401">
        <f>IF(ISBLANK(Actuals!CH100),-1586.17*Escalation!$B$82,Actuals!CH100)</f>
        <v/>
      </c>
      <c r="CH190" s="401">
        <f>IF(ISBLANK(Actuals!CI100),-1586.17*Escalation!$B$83,Actuals!CI100)</f>
        <v/>
      </c>
      <c r="CI190" s="401">
        <f>IF(ISBLANK(Actuals!CJ100),-1586.17*Escalation!$B$84,Actuals!CJ100)</f>
        <v/>
      </c>
      <c r="CJ190" s="401">
        <f>IF(ISBLANK(Actuals!CK100),-1586.17*Escalation!$B$85,Actuals!CK100)</f>
        <v/>
      </c>
      <c r="CK190" s="401">
        <f>IF(ISBLANK(Actuals!CL100),-1586.17*Escalation!$B$86,Actuals!CL100)</f>
        <v/>
      </c>
      <c r="CL190" s="401">
        <f>IF(ISBLANK(Actuals!CM100),-1586.17*Escalation!$B$87,Actuals!CM100)</f>
        <v/>
      </c>
      <c r="CM190" s="401">
        <f>IF(ISBLANK(Actuals!CN100),-1586.17*Escalation!$B$88,Actuals!CN100)</f>
        <v/>
      </c>
      <c r="CN190" s="401">
        <f>IF(ISBLANK(Actuals!CO100),-1586.17*Escalation!$B$89,Actuals!CO100)</f>
        <v/>
      </c>
      <c r="CO190" s="401">
        <f>IF(ISBLANK(Actuals!CP100),-1586.17*Escalation!$B$90,Actuals!CP100)</f>
        <v/>
      </c>
      <c r="CP190" s="401">
        <f>IF(ISBLANK(Actuals!CQ100),-1586.17*Escalation!$B$91,Actuals!CQ100)</f>
        <v/>
      </c>
      <c r="CQ190" s="401">
        <f>IF(ISBLANK(Actuals!CR100),-1586.17*Escalation!$B$92,Actuals!CR100)</f>
        <v/>
      </c>
      <c r="CR190" s="401">
        <f>IF(ISBLANK(Actuals!CS100),-1586.17*Escalation!$B$93,Actuals!CS100)</f>
        <v/>
      </c>
      <c r="CS190" s="401">
        <f>IF(ISBLANK(Actuals!CT100),-1586.17*Escalation!$B$94,Actuals!CT100)</f>
        <v/>
      </c>
      <c r="CT190" s="401">
        <f>IF(ISBLANK(Actuals!CU100),-1586.17*Escalation!$B$95,Actuals!CU100)</f>
        <v/>
      </c>
      <c r="CU190" s="401">
        <f>IF(ISBLANK(Actuals!CV100),-1586.17*Escalation!$B$96,Actuals!CV100)</f>
        <v/>
      </c>
      <c r="CV190" s="401">
        <f>IF(ISBLANK(Actuals!CW100),-1586.17*Escalation!$B$97,Actuals!CW100)</f>
        <v/>
      </c>
      <c r="CW190" s="401">
        <f>IF(ISBLANK(Actuals!CX100),-1586.17*Escalation!$B$98,Actuals!CX100)</f>
        <v/>
      </c>
      <c r="CX190" s="401">
        <f>IF(ISBLANK(Actuals!CY100),-1586.17*Escalation!$B$99,Actuals!CY100)</f>
        <v/>
      </c>
      <c r="CY190" s="401">
        <f>IF(ISBLANK(Actuals!CZ100),-1586.17*Escalation!$B$100,Actuals!CZ100)</f>
        <v/>
      </c>
      <c r="CZ190" s="401">
        <f>IF(ISBLANK(Actuals!DA100),-1586.17*Escalation!$B$101,Actuals!DA100)</f>
        <v/>
      </c>
      <c r="DA190" s="401">
        <f>IF(ISBLANK(Actuals!DB100),-1586.17*Escalation!$B$102,Actuals!DB100)</f>
        <v/>
      </c>
      <c r="DB190" s="401">
        <f>IF(ISBLANK(Actuals!DC100),-1586.17*Escalation!$B$103,Actuals!DC100)</f>
        <v/>
      </c>
      <c r="DC190" s="401">
        <f>IF(ISBLANK(Actuals!DD100),-1586.17*Escalation!$B$104,Actuals!DD100)</f>
        <v/>
      </c>
      <c r="DD190" s="401">
        <f>IF(ISBLANK(Actuals!DE100),-1586.17*Escalation!$B$105,Actuals!DE100)</f>
        <v/>
      </c>
      <c r="DE190" s="401">
        <f>IF(ISBLANK(Actuals!DF100),-1586.17*Escalation!$B$106,Actuals!DF100)</f>
        <v/>
      </c>
    </row>
    <row r="191" ht="15" customFormat="1" customHeight="1" s="380">
      <c r="A191" s="415" t="inlineStr">
        <is>
          <t>5500-1009 Entity Filing and Formation Fees</t>
        </is>
      </c>
      <c r="B191" s="401">
        <f>IF(ISBLANK(Actuals!C101),0,Actuals!C101)</f>
        <v/>
      </c>
      <c r="C191" s="401">
        <f>IF(ISBLANK(Actuals!D101),0,Actuals!D101)</f>
        <v/>
      </c>
      <c r="D191" s="401">
        <f>IF(ISBLANK(Actuals!E101),0,Actuals!E101)</f>
        <v/>
      </c>
      <c r="E191" s="401">
        <f>IF(ISBLANK(Actuals!F101),-5442.19*Escalation!$B$2,Actuals!F101)</f>
        <v/>
      </c>
      <c r="F191" s="401">
        <f>IF(ISBLANK(Actuals!G101),-5442.19*Escalation!$B$3,Actuals!G101)</f>
        <v/>
      </c>
      <c r="G191" s="401">
        <f>IF(ISBLANK(Actuals!H101),-5442.19*Escalation!$B$4,Actuals!H101)</f>
        <v/>
      </c>
      <c r="H191" s="401">
        <f>IF(ISBLANK(Actuals!I101),-5442.19*Escalation!$B$5,Actuals!I101)</f>
        <v/>
      </c>
      <c r="I191" s="401">
        <f>IF(ISBLANK(Actuals!J101),-5442.19*Escalation!$B$6,Actuals!J101)</f>
        <v/>
      </c>
      <c r="J191" s="401">
        <f>IF(ISBLANK(Actuals!K101),-5442.19*Escalation!$B$7,Actuals!K101)</f>
        <v/>
      </c>
      <c r="K191" s="401">
        <f>IF(ISBLANK(Actuals!L101),-5442.19*Escalation!$B$8,Actuals!L101)</f>
        <v/>
      </c>
      <c r="L191" s="401">
        <f>IF(ISBLANK(Actuals!M101),-5442.19*Escalation!$B$9,Actuals!M101)</f>
        <v/>
      </c>
      <c r="M191" s="401">
        <f>IF(ISBLANK(Actuals!N101),-5442.19*Escalation!$B$10,Actuals!N101)</f>
        <v/>
      </c>
      <c r="N191" s="401">
        <f>IF(ISBLANK(Actuals!O101),-5442.19*Escalation!$B$11,Actuals!O101)</f>
        <v/>
      </c>
      <c r="O191" s="401">
        <f>IF(ISBLANK(Actuals!P101),-5442.19*Escalation!$B$12,Actuals!P101)</f>
        <v/>
      </c>
      <c r="P191" s="401">
        <f>IF(ISBLANK(Actuals!Q101),-5442.19*Escalation!$B$13,Actuals!Q101)</f>
        <v/>
      </c>
      <c r="Q191" s="401">
        <f>IF(ISBLANK(Actuals!R101),-5442.19*Escalation!$B$14,Actuals!R101)</f>
        <v/>
      </c>
      <c r="R191" s="401">
        <f>IF(ISBLANK(Actuals!S101),-5442.19*Escalation!$B$15,Actuals!S101)</f>
        <v/>
      </c>
      <c r="S191" s="401">
        <f>IF(ISBLANK(Actuals!T101),-5442.19*Escalation!$B$16,Actuals!T101)</f>
        <v/>
      </c>
      <c r="T191" s="401">
        <f>IF(ISBLANK(Actuals!U101),-5442.19*Escalation!$B$17,Actuals!U101)</f>
        <v/>
      </c>
      <c r="U191" s="401">
        <f>IF(ISBLANK(Actuals!V101),-5442.19*Escalation!$B$18,Actuals!V101)</f>
        <v/>
      </c>
      <c r="V191" s="401">
        <f>IF(ISBLANK(Actuals!W101),-5442.19*Escalation!$B$19,Actuals!W101)</f>
        <v/>
      </c>
      <c r="W191" s="401">
        <f>IF(ISBLANK(Actuals!X101),-5442.19*Escalation!$B$20,Actuals!X101)</f>
        <v/>
      </c>
      <c r="X191" s="401">
        <f>IF(ISBLANK(Actuals!Y101),-5442.19*Escalation!$B$21,Actuals!Y101)</f>
        <v/>
      </c>
      <c r="Y191" s="401">
        <f>IF(ISBLANK(Actuals!Z101),-5442.19*Escalation!$B$22,Actuals!Z101)</f>
        <v/>
      </c>
      <c r="Z191" s="401">
        <f>IF(ISBLANK(Actuals!AA101),-5442.19*Escalation!$B$23,Actuals!AA101)</f>
        <v/>
      </c>
      <c r="AA191" s="401">
        <f>IF(ISBLANK(Actuals!AB101),-5442.19*Escalation!$B$24,Actuals!AB101)</f>
        <v/>
      </c>
      <c r="AB191" s="401">
        <f>IF(ISBLANK(Actuals!AC101),-5442.19*Escalation!$B$25,Actuals!AC101)</f>
        <v/>
      </c>
      <c r="AC191" s="401">
        <f>IF(ISBLANK(Actuals!AD101),-5442.19*Escalation!$B$26,Actuals!AD101)</f>
        <v/>
      </c>
      <c r="AD191" s="401">
        <f>IF(ISBLANK(Actuals!AE101),-5442.19*Escalation!$B$27,Actuals!AE101)</f>
        <v/>
      </c>
      <c r="AE191" s="401">
        <f>IF(ISBLANK(Actuals!AF101),-5442.19*Escalation!$B$28,Actuals!AF101)</f>
        <v/>
      </c>
      <c r="AF191" s="401">
        <f>IF(ISBLANK(Actuals!AG101),-5442.19*Escalation!$B$29,Actuals!AG101)</f>
        <v/>
      </c>
      <c r="AG191" s="401">
        <f>IF(ISBLANK(Actuals!AH101),-5442.19*Escalation!$B$30,Actuals!AH101)</f>
        <v/>
      </c>
      <c r="AH191" s="401">
        <f>IF(ISBLANK(Actuals!AI101),-5442.19*Escalation!$B$31,Actuals!AI101)</f>
        <v/>
      </c>
      <c r="AI191" s="401">
        <f>IF(ISBLANK(Actuals!AJ101),-5442.19*Escalation!$B$32,Actuals!AJ101)</f>
        <v/>
      </c>
      <c r="AJ191" s="401">
        <f>IF(ISBLANK(Actuals!AK101),-5442.19*Escalation!$B$33,Actuals!AK101)</f>
        <v/>
      </c>
      <c r="AK191" s="401">
        <f>IF(ISBLANK(Actuals!AL101),-5442.19*Escalation!$B$34,Actuals!AL101)</f>
        <v/>
      </c>
      <c r="AL191" s="401">
        <f>IF(ISBLANK(Actuals!AM101),-5442.19*Escalation!$B$35,Actuals!AM101)</f>
        <v/>
      </c>
      <c r="AM191" s="401">
        <f>IF(ISBLANK(Actuals!AN101),-5442.19*Escalation!$B$36,Actuals!AN101)</f>
        <v/>
      </c>
      <c r="AN191" s="401">
        <f>IF(ISBLANK(Actuals!AO101),-5442.19*Escalation!$B$37,Actuals!AO101)</f>
        <v/>
      </c>
      <c r="AO191" s="401">
        <f>IF(ISBLANK(Actuals!AP101),-5442.19*Escalation!$B$38,Actuals!AP101)</f>
        <v/>
      </c>
      <c r="AP191" s="401">
        <f>IF(ISBLANK(Actuals!AQ101),-5442.19*Escalation!$B$39,Actuals!AQ101)</f>
        <v/>
      </c>
      <c r="AQ191" s="401">
        <f>IF(ISBLANK(Actuals!AR101),-5442.19*Escalation!$B$40,Actuals!AR101)</f>
        <v/>
      </c>
      <c r="AR191" s="401">
        <f>IF(ISBLANK(Actuals!AS101),-5442.19*Escalation!$B$41,Actuals!AS101)</f>
        <v/>
      </c>
      <c r="AS191" s="401">
        <f>IF(ISBLANK(Actuals!AT101),-5442.19*Escalation!$B$42,Actuals!AT101)</f>
        <v/>
      </c>
      <c r="AT191" s="401">
        <f>IF(ISBLANK(Actuals!AU101),-5442.19*Escalation!$B$43,Actuals!AU101)</f>
        <v/>
      </c>
      <c r="AU191" s="401">
        <f>IF(ISBLANK(Actuals!AV101),-5442.19*Escalation!$B$44,Actuals!AV101)</f>
        <v/>
      </c>
      <c r="AV191" s="401">
        <f>IF(ISBLANK(Actuals!AW101),-5442.19*Escalation!$B$45,Actuals!AW101)</f>
        <v/>
      </c>
      <c r="AW191" s="401">
        <f>IF(ISBLANK(Actuals!AX101),-5442.19*Escalation!$B$46,Actuals!AX101)</f>
        <v/>
      </c>
      <c r="AX191" s="401">
        <f>IF(ISBLANK(Actuals!AY101),-5442.19*Escalation!$B$47,Actuals!AY101)</f>
        <v/>
      </c>
      <c r="AY191" s="401">
        <f>IF(ISBLANK(Actuals!AZ101),-5442.19*Escalation!$B$48,Actuals!AZ101)</f>
        <v/>
      </c>
      <c r="AZ191" s="401">
        <f>IF(ISBLANK(Actuals!BA101),-5442.19*Escalation!$B$49,Actuals!BA101)</f>
        <v/>
      </c>
      <c r="BA191" s="401">
        <f>IF(ISBLANK(Actuals!BB101),-5442.19*Escalation!$B$50,Actuals!BB101)</f>
        <v/>
      </c>
      <c r="BB191" s="401">
        <f>IF(ISBLANK(Actuals!BC101),-5442.19*Escalation!$B$51,Actuals!BC101)</f>
        <v/>
      </c>
      <c r="BC191" s="401">
        <f>IF(ISBLANK(Actuals!BD101),-5442.19*Escalation!$B$52,Actuals!BD101)</f>
        <v/>
      </c>
      <c r="BD191" s="401">
        <f>IF(ISBLANK(Actuals!BE101),-5442.19*Escalation!$B$53,Actuals!BE101)</f>
        <v/>
      </c>
      <c r="BE191" s="401">
        <f>IF(ISBLANK(Actuals!BF101),-5442.19*Escalation!$B$54,Actuals!BF101)</f>
        <v/>
      </c>
      <c r="BF191" s="401">
        <f>IF(ISBLANK(Actuals!BG101),-5442.19*Escalation!$B$55,Actuals!BG101)</f>
        <v/>
      </c>
      <c r="BG191" s="401">
        <f>IF(ISBLANK(Actuals!BH101),-5442.19*Escalation!$B$56,Actuals!BH101)</f>
        <v/>
      </c>
      <c r="BH191" s="401">
        <f>IF(ISBLANK(Actuals!BI101),-5442.19*Escalation!$B$57,Actuals!BI101)</f>
        <v/>
      </c>
      <c r="BI191" s="401">
        <f>IF(ISBLANK(Actuals!BJ101),-5442.19*Escalation!$B$58,Actuals!BJ101)</f>
        <v/>
      </c>
      <c r="BJ191" s="401">
        <f>IF(ISBLANK(Actuals!BK101),-5442.19*Escalation!$B$59,Actuals!BK101)</f>
        <v/>
      </c>
      <c r="BK191" s="401">
        <f>IF(ISBLANK(Actuals!BL101),-5442.19*Escalation!$B$60,Actuals!BL101)</f>
        <v/>
      </c>
      <c r="BL191" s="401">
        <f>IF(ISBLANK(Actuals!BM101),-5442.19*Escalation!$B$61,Actuals!BM101)</f>
        <v/>
      </c>
      <c r="BM191" s="401">
        <f>IF(ISBLANK(Actuals!BN101),-5442.19*Escalation!$B$62,Actuals!BN101)</f>
        <v/>
      </c>
      <c r="BN191" s="401">
        <f>IF(ISBLANK(Actuals!BO101),-5442.19*Escalation!$B$63,Actuals!BO101)</f>
        <v/>
      </c>
      <c r="BO191" s="401">
        <f>IF(ISBLANK(Actuals!BP101),-5442.19*Escalation!$B$64,Actuals!BP101)</f>
        <v/>
      </c>
      <c r="BP191" s="401">
        <f>IF(ISBLANK(Actuals!BQ101),-5442.19*Escalation!$B$65,Actuals!BQ101)</f>
        <v/>
      </c>
      <c r="BQ191" s="401">
        <f>IF(ISBLANK(Actuals!BR101),-5442.19*Escalation!$B$66,Actuals!BR101)</f>
        <v/>
      </c>
      <c r="BR191" s="401">
        <f>IF(ISBLANK(Actuals!BS101),-5442.19*Escalation!$B$67,Actuals!BS101)</f>
        <v/>
      </c>
      <c r="BS191" s="401">
        <f>IF(ISBLANK(Actuals!BT101),-5442.19*Escalation!$B$68,Actuals!BT101)</f>
        <v/>
      </c>
      <c r="BT191" s="401">
        <f>IF(ISBLANK(Actuals!BU101),-5442.19*Escalation!$B$69,Actuals!BU101)</f>
        <v/>
      </c>
      <c r="BU191" s="401">
        <f>IF(ISBLANK(Actuals!BV101),-5442.19*Escalation!$B$70,Actuals!BV101)</f>
        <v/>
      </c>
      <c r="BV191" s="401">
        <f>IF(ISBLANK(Actuals!BW101),-5442.19*Escalation!$B$71,Actuals!BW101)</f>
        <v/>
      </c>
      <c r="BW191" s="401">
        <f>IF(ISBLANK(Actuals!BX101),-5442.19*Escalation!$B$72,Actuals!BX101)</f>
        <v/>
      </c>
      <c r="BX191" s="401">
        <f>IF(ISBLANK(Actuals!BY101),-5442.19*Escalation!$B$73,Actuals!BY101)</f>
        <v/>
      </c>
      <c r="BY191" s="401">
        <f>IF(ISBLANK(Actuals!BZ101),-5442.19*Escalation!$B$74,Actuals!BZ101)</f>
        <v/>
      </c>
      <c r="BZ191" s="401">
        <f>IF(ISBLANK(Actuals!CA101),-5442.19*Escalation!$B$75,Actuals!CA101)</f>
        <v/>
      </c>
      <c r="CA191" s="401">
        <f>IF(ISBLANK(Actuals!CB101),-5442.19*Escalation!$B$76,Actuals!CB101)</f>
        <v/>
      </c>
      <c r="CB191" s="401">
        <f>IF(ISBLANK(Actuals!CC101),-5442.19*Escalation!$B$77,Actuals!CC101)</f>
        <v/>
      </c>
      <c r="CC191" s="401">
        <f>IF(ISBLANK(Actuals!CD101),-5442.19*Escalation!$B$78,Actuals!CD101)</f>
        <v/>
      </c>
      <c r="CD191" s="401">
        <f>IF(ISBLANK(Actuals!CE101),-5442.19*Escalation!$B$79,Actuals!CE101)</f>
        <v/>
      </c>
      <c r="CE191" s="401">
        <f>IF(ISBLANK(Actuals!CF101),-5442.19*Escalation!$B$80,Actuals!CF101)</f>
        <v/>
      </c>
      <c r="CF191" s="401">
        <f>IF(ISBLANK(Actuals!CG101),-5442.19*Escalation!$B$81,Actuals!CG101)</f>
        <v/>
      </c>
      <c r="CG191" s="401">
        <f>IF(ISBLANK(Actuals!CH101),-5442.19*Escalation!$B$82,Actuals!CH101)</f>
        <v/>
      </c>
      <c r="CH191" s="401">
        <f>IF(ISBLANK(Actuals!CI101),-5442.19*Escalation!$B$83,Actuals!CI101)</f>
        <v/>
      </c>
      <c r="CI191" s="401">
        <f>IF(ISBLANK(Actuals!CJ101),-5442.19*Escalation!$B$84,Actuals!CJ101)</f>
        <v/>
      </c>
      <c r="CJ191" s="401">
        <f>IF(ISBLANK(Actuals!CK101),-5442.19*Escalation!$B$85,Actuals!CK101)</f>
        <v/>
      </c>
      <c r="CK191" s="401">
        <f>IF(ISBLANK(Actuals!CL101),-5442.19*Escalation!$B$86,Actuals!CL101)</f>
        <v/>
      </c>
      <c r="CL191" s="401">
        <f>IF(ISBLANK(Actuals!CM101),-5442.19*Escalation!$B$87,Actuals!CM101)</f>
        <v/>
      </c>
      <c r="CM191" s="401">
        <f>IF(ISBLANK(Actuals!CN101),-5442.19*Escalation!$B$88,Actuals!CN101)</f>
        <v/>
      </c>
      <c r="CN191" s="401">
        <f>IF(ISBLANK(Actuals!CO101),-5442.19*Escalation!$B$89,Actuals!CO101)</f>
        <v/>
      </c>
      <c r="CO191" s="401">
        <f>IF(ISBLANK(Actuals!CP101),-5442.19*Escalation!$B$90,Actuals!CP101)</f>
        <v/>
      </c>
      <c r="CP191" s="401">
        <f>IF(ISBLANK(Actuals!CQ101),-5442.19*Escalation!$B$91,Actuals!CQ101)</f>
        <v/>
      </c>
      <c r="CQ191" s="401">
        <f>IF(ISBLANK(Actuals!CR101),-5442.19*Escalation!$B$92,Actuals!CR101)</f>
        <v/>
      </c>
      <c r="CR191" s="401">
        <f>IF(ISBLANK(Actuals!CS101),-5442.19*Escalation!$B$93,Actuals!CS101)</f>
        <v/>
      </c>
      <c r="CS191" s="401">
        <f>IF(ISBLANK(Actuals!CT101),-5442.19*Escalation!$B$94,Actuals!CT101)</f>
        <v/>
      </c>
      <c r="CT191" s="401">
        <f>IF(ISBLANK(Actuals!CU101),-5442.19*Escalation!$B$95,Actuals!CU101)</f>
        <v/>
      </c>
      <c r="CU191" s="401">
        <f>IF(ISBLANK(Actuals!CV101),-5442.19*Escalation!$B$96,Actuals!CV101)</f>
        <v/>
      </c>
      <c r="CV191" s="401">
        <f>IF(ISBLANK(Actuals!CW101),-5442.19*Escalation!$B$97,Actuals!CW101)</f>
        <v/>
      </c>
      <c r="CW191" s="401">
        <f>IF(ISBLANK(Actuals!CX101),-5442.19*Escalation!$B$98,Actuals!CX101)</f>
        <v/>
      </c>
      <c r="CX191" s="401">
        <f>IF(ISBLANK(Actuals!CY101),-5442.19*Escalation!$B$99,Actuals!CY101)</f>
        <v/>
      </c>
      <c r="CY191" s="401">
        <f>IF(ISBLANK(Actuals!CZ101),-5442.19*Escalation!$B$100,Actuals!CZ101)</f>
        <v/>
      </c>
      <c r="CZ191" s="401">
        <f>IF(ISBLANK(Actuals!DA101),-5442.19*Escalation!$B$101,Actuals!DA101)</f>
        <v/>
      </c>
      <c r="DA191" s="401">
        <f>IF(ISBLANK(Actuals!DB101),-5442.19*Escalation!$B$102,Actuals!DB101)</f>
        <v/>
      </c>
      <c r="DB191" s="401">
        <f>IF(ISBLANK(Actuals!DC101),-5442.19*Escalation!$B$103,Actuals!DC101)</f>
        <v/>
      </c>
      <c r="DC191" s="401">
        <f>IF(ISBLANK(Actuals!DD101),-5442.19*Escalation!$B$104,Actuals!DD101)</f>
        <v/>
      </c>
      <c r="DD191" s="401">
        <f>IF(ISBLANK(Actuals!DE101),-5442.19*Escalation!$B$105,Actuals!DE101)</f>
        <v/>
      </c>
      <c r="DE191" s="401">
        <f>IF(ISBLANK(Actuals!DF101),-5442.19*Escalation!$B$106,Actuals!DF101)</f>
        <v/>
      </c>
    </row>
    <row r="192" ht="15" customFormat="1" customHeight="1" s="380">
      <c r="A192" s="415" t="inlineStr">
        <is>
          <t>5500-1010 Investment Management Software</t>
        </is>
      </c>
      <c r="B192" s="401">
        <f>IF(ISBLANK(Actuals!C102),0,Actuals!C102)</f>
        <v/>
      </c>
      <c r="C192" s="401">
        <f>IF(ISBLANK(Actuals!D102),0,Actuals!D102)</f>
        <v/>
      </c>
      <c r="D192" s="401">
        <f>IF(ISBLANK(Actuals!E102),0,Actuals!E102)</f>
        <v/>
      </c>
      <c r="E192" s="401">
        <f>IF(ISBLANK(Actuals!F102),-1905.31*Escalation!$B$2,Actuals!F102)</f>
        <v/>
      </c>
      <c r="F192" s="401">
        <f>IF(ISBLANK(Actuals!G102),-1905.31*Escalation!$B$3,Actuals!G102)</f>
        <v/>
      </c>
      <c r="G192" s="401">
        <f>IF(ISBLANK(Actuals!H102),-1905.31*Escalation!$B$4,Actuals!H102)</f>
        <v/>
      </c>
      <c r="H192" s="401">
        <f>IF(ISBLANK(Actuals!I102),-1905.31*Escalation!$B$5,Actuals!I102)</f>
        <v/>
      </c>
      <c r="I192" s="401">
        <f>IF(ISBLANK(Actuals!J102),-1905.31*Escalation!$B$6,Actuals!J102)</f>
        <v/>
      </c>
      <c r="J192" s="401">
        <f>IF(ISBLANK(Actuals!K102),-1905.31*Escalation!$B$7,Actuals!K102)</f>
        <v/>
      </c>
      <c r="K192" s="401">
        <f>IF(ISBLANK(Actuals!L102),-1905.31*Escalation!$B$8,Actuals!L102)</f>
        <v/>
      </c>
      <c r="L192" s="401">
        <f>IF(ISBLANK(Actuals!M102),-1905.31*Escalation!$B$9,Actuals!M102)</f>
        <v/>
      </c>
      <c r="M192" s="401">
        <f>IF(ISBLANK(Actuals!N102),-1905.31*Escalation!$B$10,Actuals!N102)</f>
        <v/>
      </c>
      <c r="N192" s="401">
        <f>IF(ISBLANK(Actuals!O102),-1905.31*Escalation!$B$11,Actuals!O102)</f>
        <v/>
      </c>
      <c r="O192" s="401">
        <f>IF(ISBLANK(Actuals!P102),-1905.31*Escalation!$B$12,Actuals!P102)</f>
        <v/>
      </c>
      <c r="P192" s="401">
        <f>IF(ISBLANK(Actuals!Q102),-1905.31*Escalation!$B$13,Actuals!Q102)</f>
        <v/>
      </c>
      <c r="Q192" s="401">
        <f>IF(ISBLANK(Actuals!R102),-1905.31*Escalation!$B$14,Actuals!R102)</f>
        <v/>
      </c>
      <c r="R192" s="401">
        <f>IF(ISBLANK(Actuals!S102),-1905.31*Escalation!$B$15,Actuals!S102)</f>
        <v/>
      </c>
      <c r="S192" s="401">
        <f>IF(ISBLANK(Actuals!T102),-1905.31*Escalation!$B$16,Actuals!T102)</f>
        <v/>
      </c>
      <c r="T192" s="401">
        <f>IF(ISBLANK(Actuals!U102),-1905.31*Escalation!$B$17,Actuals!U102)</f>
        <v/>
      </c>
      <c r="U192" s="401">
        <f>IF(ISBLANK(Actuals!V102),-1905.31*Escalation!$B$18,Actuals!V102)</f>
        <v/>
      </c>
      <c r="V192" s="401">
        <f>IF(ISBLANK(Actuals!W102),-1905.31*Escalation!$B$19,Actuals!W102)</f>
        <v/>
      </c>
      <c r="W192" s="401">
        <f>IF(ISBLANK(Actuals!X102),-1905.31*Escalation!$B$20,Actuals!X102)</f>
        <v/>
      </c>
      <c r="X192" s="401">
        <f>IF(ISBLANK(Actuals!Y102),-1905.31*Escalation!$B$21,Actuals!Y102)</f>
        <v/>
      </c>
      <c r="Y192" s="401">
        <f>IF(ISBLANK(Actuals!Z102),-1905.31*Escalation!$B$22,Actuals!Z102)</f>
        <v/>
      </c>
      <c r="Z192" s="401">
        <f>IF(ISBLANK(Actuals!AA102),-1905.31*Escalation!$B$23,Actuals!AA102)</f>
        <v/>
      </c>
      <c r="AA192" s="401">
        <f>IF(ISBLANK(Actuals!AB102),-1905.31*Escalation!$B$24,Actuals!AB102)</f>
        <v/>
      </c>
      <c r="AB192" s="401">
        <f>IF(ISBLANK(Actuals!AC102),-1905.31*Escalation!$B$25,Actuals!AC102)</f>
        <v/>
      </c>
      <c r="AC192" s="401">
        <f>IF(ISBLANK(Actuals!AD102),-1905.31*Escalation!$B$26,Actuals!AD102)</f>
        <v/>
      </c>
      <c r="AD192" s="401">
        <f>IF(ISBLANK(Actuals!AE102),-1905.31*Escalation!$B$27,Actuals!AE102)</f>
        <v/>
      </c>
      <c r="AE192" s="401">
        <f>IF(ISBLANK(Actuals!AF102),-1905.31*Escalation!$B$28,Actuals!AF102)</f>
        <v/>
      </c>
      <c r="AF192" s="401">
        <f>IF(ISBLANK(Actuals!AG102),-1905.31*Escalation!$B$29,Actuals!AG102)</f>
        <v/>
      </c>
      <c r="AG192" s="401">
        <f>IF(ISBLANK(Actuals!AH102),-1905.31*Escalation!$B$30,Actuals!AH102)</f>
        <v/>
      </c>
      <c r="AH192" s="401">
        <f>IF(ISBLANK(Actuals!AI102),-1905.31*Escalation!$B$31,Actuals!AI102)</f>
        <v/>
      </c>
      <c r="AI192" s="401">
        <f>IF(ISBLANK(Actuals!AJ102),-1905.31*Escalation!$B$32,Actuals!AJ102)</f>
        <v/>
      </c>
      <c r="AJ192" s="401">
        <f>IF(ISBLANK(Actuals!AK102),-1905.31*Escalation!$B$33,Actuals!AK102)</f>
        <v/>
      </c>
      <c r="AK192" s="401">
        <f>IF(ISBLANK(Actuals!AL102),-1905.31*Escalation!$B$34,Actuals!AL102)</f>
        <v/>
      </c>
      <c r="AL192" s="401">
        <f>IF(ISBLANK(Actuals!AM102),-1905.31*Escalation!$B$35,Actuals!AM102)</f>
        <v/>
      </c>
      <c r="AM192" s="401">
        <f>IF(ISBLANK(Actuals!AN102),-1905.31*Escalation!$B$36,Actuals!AN102)</f>
        <v/>
      </c>
      <c r="AN192" s="401">
        <f>IF(ISBLANK(Actuals!AO102),-1905.31*Escalation!$B$37,Actuals!AO102)</f>
        <v/>
      </c>
      <c r="AO192" s="401">
        <f>IF(ISBLANK(Actuals!AP102),-1905.31*Escalation!$B$38,Actuals!AP102)</f>
        <v/>
      </c>
      <c r="AP192" s="401">
        <f>IF(ISBLANK(Actuals!AQ102),-1905.31*Escalation!$B$39,Actuals!AQ102)</f>
        <v/>
      </c>
      <c r="AQ192" s="401">
        <f>IF(ISBLANK(Actuals!AR102),-1905.31*Escalation!$B$40,Actuals!AR102)</f>
        <v/>
      </c>
      <c r="AR192" s="401">
        <f>IF(ISBLANK(Actuals!AS102),-1905.31*Escalation!$B$41,Actuals!AS102)</f>
        <v/>
      </c>
      <c r="AS192" s="401">
        <f>IF(ISBLANK(Actuals!AT102),-1905.31*Escalation!$B$42,Actuals!AT102)</f>
        <v/>
      </c>
      <c r="AT192" s="401">
        <f>IF(ISBLANK(Actuals!AU102),-1905.31*Escalation!$B$43,Actuals!AU102)</f>
        <v/>
      </c>
      <c r="AU192" s="401">
        <f>IF(ISBLANK(Actuals!AV102),-1905.31*Escalation!$B$44,Actuals!AV102)</f>
        <v/>
      </c>
      <c r="AV192" s="401">
        <f>IF(ISBLANK(Actuals!AW102),-1905.31*Escalation!$B$45,Actuals!AW102)</f>
        <v/>
      </c>
      <c r="AW192" s="401">
        <f>IF(ISBLANK(Actuals!AX102),-1905.31*Escalation!$B$46,Actuals!AX102)</f>
        <v/>
      </c>
      <c r="AX192" s="401">
        <f>IF(ISBLANK(Actuals!AY102),-1905.31*Escalation!$B$47,Actuals!AY102)</f>
        <v/>
      </c>
      <c r="AY192" s="401">
        <f>IF(ISBLANK(Actuals!AZ102),-1905.31*Escalation!$B$48,Actuals!AZ102)</f>
        <v/>
      </c>
      <c r="AZ192" s="401">
        <f>IF(ISBLANK(Actuals!BA102),-1905.31*Escalation!$B$49,Actuals!BA102)</f>
        <v/>
      </c>
      <c r="BA192" s="401">
        <f>IF(ISBLANK(Actuals!BB102),-1905.31*Escalation!$B$50,Actuals!BB102)</f>
        <v/>
      </c>
      <c r="BB192" s="401">
        <f>IF(ISBLANK(Actuals!BC102),-1905.31*Escalation!$B$51,Actuals!BC102)</f>
        <v/>
      </c>
      <c r="BC192" s="401">
        <f>IF(ISBLANK(Actuals!BD102),-1905.31*Escalation!$B$52,Actuals!BD102)</f>
        <v/>
      </c>
      <c r="BD192" s="401">
        <f>IF(ISBLANK(Actuals!BE102),-1905.31*Escalation!$B$53,Actuals!BE102)</f>
        <v/>
      </c>
      <c r="BE192" s="401">
        <f>IF(ISBLANK(Actuals!BF102),-1905.31*Escalation!$B$54,Actuals!BF102)</f>
        <v/>
      </c>
      <c r="BF192" s="401">
        <f>IF(ISBLANK(Actuals!BG102),-1905.31*Escalation!$B$55,Actuals!BG102)</f>
        <v/>
      </c>
      <c r="BG192" s="401">
        <f>IF(ISBLANK(Actuals!BH102),-1905.31*Escalation!$B$56,Actuals!BH102)</f>
        <v/>
      </c>
      <c r="BH192" s="401">
        <f>IF(ISBLANK(Actuals!BI102),-1905.31*Escalation!$B$57,Actuals!BI102)</f>
        <v/>
      </c>
      <c r="BI192" s="401">
        <f>IF(ISBLANK(Actuals!BJ102),-1905.31*Escalation!$B$58,Actuals!BJ102)</f>
        <v/>
      </c>
      <c r="BJ192" s="401">
        <f>IF(ISBLANK(Actuals!BK102),-1905.31*Escalation!$B$59,Actuals!BK102)</f>
        <v/>
      </c>
      <c r="BK192" s="401">
        <f>IF(ISBLANK(Actuals!BL102),-1905.31*Escalation!$B$60,Actuals!BL102)</f>
        <v/>
      </c>
      <c r="BL192" s="401">
        <f>IF(ISBLANK(Actuals!BM102),-1905.31*Escalation!$B$61,Actuals!BM102)</f>
        <v/>
      </c>
      <c r="BM192" s="401">
        <f>IF(ISBLANK(Actuals!BN102),-1905.31*Escalation!$B$62,Actuals!BN102)</f>
        <v/>
      </c>
      <c r="BN192" s="401">
        <f>IF(ISBLANK(Actuals!BO102),-1905.31*Escalation!$B$63,Actuals!BO102)</f>
        <v/>
      </c>
      <c r="BO192" s="401">
        <f>IF(ISBLANK(Actuals!BP102),-1905.31*Escalation!$B$64,Actuals!BP102)</f>
        <v/>
      </c>
      <c r="BP192" s="401">
        <f>IF(ISBLANK(Actuals!BQ102),-1905.31*Escalation!$B$65,Actuals!BQ102)</f>
        <v/>
      </c>
      <c r="BQ192" s="401">
        <f>IF(ISBLANK(Actuals!BR102),-1905.31*Escalation!$B$66,Actuals!BR102)</f>
        <v/>
      </c>
      <c r="BR192" s="401">
        <f>IF(ISBLANK(Actuals!BS102),-1905.31*Escalation!$B$67,Actuals!BS102)</f>
        <v/>
      </c>
      <c r="BS192" s="401">
        <f>IF(ISBLANK(Actuals!BT102),-1905.31*Escalation!$B$68,Actuals!BT102)</f>
        <v/>
      </c>
      <c r="BT192" s="401">
        <f>IF(ISBLANK(Actuals!BU102),-1905.31*Escalation!$B$69,Actuals!BU102)</f>
        <v/>
      </c>
      <c r="BU192" s="401">
        <f>IF(ISBLANK(Actuals!BV102),-1905.31*Escalation!$B$70,Actuals!BV102)</f>
        <v/>
      </c>
      <c r="BV192" s="401">
        <f>IF(ISBLANK(Actuals!BW102),-1905.31*Escalation!$B$71,Actuals!BW102)</f>
        <v/>
      </c>
      <c r="BW192" s="401">
        <f>IF(ISBLANK(Actuals!BX102),-1905.31*Escalation!$B$72,Actuals!BX102)</f>
        <v/>
      </c>
      <c r="BX192" s="401">
        <f>IF(ISBLANK(Actuals!BY102),-1905.31*Escalation!$B$73,Actuals!BY102)</f>
        <v/>
      </c>
      <c r="BY192" s="401">
        <f>IF(ISBLANK(Actuals!BZ102),-1905.31*Escalation!$B$74,Actuals!BZ102)</f>
        <v/>
      </c>
      <c r="BZ192" s="401">
        <f>IF(ISBLANK(Actuals!CA102),-1905.31*Escalation!$B$75,Actuals!CA102)</f>
        <v/>
      </c>
      <c r="CA192" s="401">
        <f>IF(ISBLANK(Actuals!CB102),-1905.31*Escalation!$B$76,Actuals!CB102)</f>
        <v/>
      </c>
      <c r="CB192" s="401">
        <f>IF(ISBLANK(Actuals!CC102),-1905.31*Escalation!$B$77,Actuals!CC102)</f>
        <v/>
      </c>
      <c r="CC192" s="401">
        <f>IF(ISBLANK(Actuals!CD102),-1905.31*Escalation!$B$78,Actuals!CD102)</f>
        <v/>
      </c>
      <c r="CD192" s="401">
        <f>IF(ISBLANK(Actuals!CE102),-1905.31*Escalation!$B$79,Actuals!CE102)</f>
        <v/>
      </c>
      <c r="CE192" s="401">
        <f>IF(ISBLANK(Actuals!CF102),-1905.31*Escalation!$B$80,Actuals!CF102)</f>
        <v/>
      </c>
      <c r="CF192" s="401">
        <f>IF(ISBLANK(Actuals!CG102),-1905.31*Escalation!$B$81,Actuals!CG102)</f>
        <v/>
      </c>
      <c r="CG192" s="401">
        <f>IF(ISBLANK(Actuals!CH102),-1905.31*Escalation!$B$82,Actuals!CH102)</f>
        <v/>
      </c>
      <c r="CH192" s="401">
        <f>IF(ISBLANK(Actuals!CI102),-1905.31*Escalation!$B$83,Actuals!CI102)</f>
        <v/>
      </c>
      <c r="CI192" s="401">
        <f>IF(ISBLANK(Actuals!CJ102),-1905.31*Escalation!$B$84,Actuals!CJ102)</f>
        <v/>
      </c>
      <c r="CJ192" s="401">
        <f>IF(ISBLANK(Actuals!CK102),-1905.31*Escalation!$B$85,Actuals!CK102)</f>
        <v/>
      </c>
      <c r="CK192" s="401">
        <f>IF(ISBLANK(Actuals!CL102),-1905.31*Escalation!$B$86,Actuals!CL102)</f>
        <v/>
      </c>
      <c r="CL192" s="401">
        <f>IF(ISBLANK(Actuals!CM102),-1905.31*Escalation!$B$87,Actuals!CM102)</f>
        <v/>
      </c>
      <c r="CM192" s="401">
        <f>IF(ISBLANK(Actuals!CN102),-1905.31*Escalation!$B$88,Actuals!CN102)</f>
        <v/>
      </c>
      <c r="CN192" s="401">
        <f>IF(ISBLANK(Actuals!CO102),-1905.31*Escalation!$B$89,Actuals!CO102)</f>
        <v/>
      </c>
      <c r="CO192" s="401">
        <f>IF(ISBLANK(Actuals!CP102),-1905.31*Escalation!$B$90,Actuals!CP102)</f>
        <v/>
      </c>
      <c r="CP192" s="401">
        <f>IF(ISBLANK(Actuals!CQ102),-1905.31*Escalation!$B$91,Actuals!CQ102)</f>
        <v/>
      </c>
      <c r="CQ192" s="401">
        <f>IF(ISBLANK(Actuals!CR102),-1905.31*Escalation!$B$92,Actuals!CR102)</f>
        <v/>
      </c>
      <c r="CR192" s="401">
        <f>IF(ISBLANK(Actuals!CS102),-1905.31*Escalation!$B$93,Actuals!CS102)</f>
        <v/>
      </c>
      <c r="CS192" s="401">
        <f>IF(ISBLANK(Actuals!CT102),-1905.31*Escalation!$B$94,Actuals!CT102)</f>
        <v/>
      </c>
      <c r="CT192" s="401">
        <f>IF(ISBLANK(Actuals!CU102),-1905.31*Escalation!$B$95,Actuals!CU102)</f>
        <v/>
      </c>
      <c r="CU192" s="401">
        <f>IF(ISBLANK(Actuals!CV102),-1905.31*Escalation!$B$96,Actuals!CV102)</f>
        <v/>
      </c>
      <c r="CV192" s="401">
        <f>IF(ISBLANK(Actuals!CW102),-1905.31*Escalation!$B$97,Actuals!CW102)</f>
        <v/>
      </c>
      <c r="CW192" s="401">
        <f>IF(ISBLANK(Actuals!CX102),-1905.31*Escalation!$B$98,Actuals!CX102)</f>
        <v/>
      </c>
      <c r="CX192" s="401">
        <f>IF(ISBLANK(Actuals!CY102),-1905.31*Escalation!$B$99,Actuals!CY102)</f>
        <v/>
      </c>
      <c r="CY192" s="401">
        <f>IF(ISBLANK(Actuals!CZ102),-1905.31*Escalation!$B$100,Actuals!CZ102)</f>
        <v/>
      </c>
      <c r="CZ192" s="401">
        <f>IF(ISBLANK(Actuals!DA102),-1905.31*Escalation!$B$101,Actuals!DA102)</f>
        <v/>
      </c>
      <c r="DA192" s="401">
        <f>IF(ISBLANK(Actuals!DB102),-1905.31*Escalation!$B$102,Actuals!DB102)</f>
        <v/>
      </c>
      <c r="DB192" s="401">
        <f>IF(ISBLANK(Actuals!DC102),-1905.31*Escalation!$B$103,Actuals!DC102)</f>
        <v/>
      </c>
      <c r="DC192" s="401">
        <f>IF(ISBLANK(Actuals!DD102),-1905.31*Escalation!$B$104,Actuals!DD102)</f>
        <v/>
      </c>
      <c r="DD192" s="401">
        <f>IF(ISBLANK(Actuals!DE102),-1905.31*Escalation!$B$105,Actuals!DE102)</f>
        <v/>
      </c>
      <c r="DE192" s="401">
        <f>IF(ISBLANK(Actuals!DF102),-1905.31*Escalation!$B$106,Actuals!DF102)</f>
        <v/>
      </c>
    </row>
    <row r="193" ht="15" customFormat="1" customHeight="1" s="380">
      <c r="A193" s="415" t="inlineStr">
        <is>
          <t>5500-1053 E&amp;O/D&amp;O Insurance</t>
        </is>
      </c>
      <c r="B193" s="401">
        <f>IF(ISBLANK(Actuals!C103),0,Actuals!C103)</f>
        <v/>
      </c>
      <c r="C193" s="401">
        <f>IF(ISBLANK(Actuals!D103),0,Actuals!D103)</f>
        <v/>
      </c>
      <c r="D193" s="401">
        <f>IF(ISBLANK(Actuals!E103),0,Actuals!E103)</f>
        <v/>
      </c>
      <c r="E193" s="401">
        <f>IF(ISBLANK(Actuals!F103),-2100*Escalation!$B$2,Actuals!F103)</f>
        <v/>
      </c>
      <c r="F193" s="401">
        <f>IF(ISBLANK(Actuals!G103),-2100*Escalation!$B$3,Actuals!G103)</f>
        <v/>
      </c>
      <c r="G193" s="401">
        <f>IF(ISBLANK(Actuals!H103),-2100*Escalation!$B$4,Actuals!H103)</f>
        <v/>
      </c>
      <c r="H193" s="401">
        <f>IF(ISBLANK(Actuals!I103),-2100*Escalation!$B$5,Actuals!I103)</f>
        <v/>
      </c>
      <c r="I193" s="401">
        <f>IF(ISBLANK(Actuals!J103),-2100*Escalation!$B$6,Actuals!J103)</f>
        <v/>
      </c>
      <c r="J193" s="401">
        <f>IF(ISBLANK(Actuals!K103),-2100*Escalation!$B$7,Actuals!K103)</f>
        <v/>
      </c>
      <c r="K193" s="401">
        <f>IF(ISBLANK(Actuals!L103),-2100*Escalation!$B$8,Actuals!L103)</f>
        <v/>
      </c>
      <c r="L193" s="401">
        <f>IF(ISBLANK(Actuals!M103),-2100*Escalation!$B$9,Actuals!M103)</f>
        <v/>
      </c>
      <c r="M193" s="401">
        <f>IF(ISBLANK(Actuals!N103),-2100*Escalation!$B$10,Actuals!N103)</f>
        <v/>
      </c>
      <c r="N193" s="401">
        <f>IF(ISBLANK(Actuals!O103),-2100*Escalation!$B$11,Actuals!O103)</f>
        <v/>
      </c>
      <c r="O193" s="401">
        <f>IF(ISBLANK(Actuals!P103),-2100*Escalation!$B$12,Actuals!P103)</f>
        <v/>
      </c>
      <c r="P193" s="401">
        <f>IF(ISBLANK(Actuals!Q103),-2100*Escalation!$B$13,Actuals!Q103)</f>
        <v/>
      </c>
      <c r="Q193" s="401">
        <f>IF(ISBLANK(Actuals!R103),-2100*Escalation!$B$14,Actuals!R103)</f>
        <v/>
      </c>
      <c r="R193" s="401">
        <f>IF(ISBLANK(Actuals!S103),-2100*Escalation!$B$15,Actuals!S103)</f>
        <v/>
      </c>
      <c r="S193" s="401">
        <f>IF(ISBLANK(Actuals!T103),-2100*Escalation!$B$16,Actuals!T103)</f>
        <v/>
      </c>
      <c r="T193" s="401">
        <f>IF(ISBLANK(Actuals!U103),-2100*Escalation!$B$17,Actuals!U103)</f>
        <v/>
      </c>
      <c r="U193" s="401">
        <f>IF(ISBLANK(Actuals!V103),-2100*Escalation!$B$18,Actuals!V103)</f>
        <v/>
      </c>
      <c r="V193" s="401">
        <f>IF(ISBLANK(Actuals!W103),-2100*Escalation!$B$19,Actuals!W103)</f>
        <v/>
      </c>
      <c r="W193" s="401">
        <f>IF(ISBLANK(Actuals!X103),-2100*Escalation!$B$20,Actuals!X103)</f>
        <v/>
      </c>
      <c r="X193" s="401">
        <f>IF(ISBLANK(Actuals!Y103),-2100*Escalation!$B$21,Actuals!Y103)</f>
        <v/>
      </c>
      <c r="Y193" s="401">
        <f>IF(ISBLANK(Actuals!Z103),-2100*Escalation!$B$22,Actuals!Z103)</f>
        <v/>
      </c>
      <c r="Z193" s="401">
        <f>IF(ISBLANK(Actuals!AA103),-2100*Escalation!$B$23,Actuals!AA103)</f>
        <v/>
      </c>
      <c r="AA193" s="401">
        <f>IF(ISBLANK(Actuals!AB103),-2100*Escalation!$B$24,Actuals!AB103)</f>
        <v/>
      </c>
      <c r="AB193" s="401">
        <f>IF(ISBLANK(Actuals!AC103),-2100*Escalation!$B$25,Actuals!AC103)</f>
        <v/>
      </c>
      <c r="AC193" s="401">
        <f>IF(ISBLANK(Actuals!AD103),-2100*Escalation!$B$26,Actuals!AD103)</f>
        <v/>
      </c>
      <c r="AD193" s="401">
        <f>IF(ISBLANK(Actuals!AE103),-2100*Escalation!$B$27,Actuals!AE103)</f>
        <v/>
      </c>
      <c r="AE193" s="401">
        <f>IF(ISBLANK(Actuals!AF103),-2100*Escalation!$B$28,Actuals!AF103)</f>
        <v/>
      </c>
      <c r="AF193" s="401">
        <f>IF(ISBLANK(Actuals!AG103),-2100*Escalation!$B$29,Actuals!AG103)</f>
        <v/>
      </c>
      <c r="AG193" s="401">
        <f>IF(ISBLANK(Actuals!AH103),-2100*Escalation!$B$30,Actuals!AH103)</f>
        <v/>
      </c>
      <c r="AH193" s="401">
        <f>IF(ISBLANK(Actuals!AI103),-2100*Escalation!$B$31,Actuals!AI103)</f>
        <v/>
      </c>
      <c r="AI193" s="401">
        <f>IF(ISBLANK(Actuals!AJ103),-2100*Escalation!$B$32,Actuals!AJ103)</f>
        <v/>
      </c>
      <c r="AJ193" s="401">
        <f>IF(ISBLANK(Actuals!AK103),-2100*Escalation!$B$33,Actuals!AK103)</f>
        <v/>
      </c>
      <c r="AK193" s="401">
        <f>IF(ISBLANK(Actuals!AL103),-2100*Escalation!$B$34,Actuals!AL103)</f>
        <v/>
      </c>
      <c r="AL193" s="401">
        <f>IF(ISBLANK(Actuals!AM103),-2100*Escalation!$B$35,Actuals!AM103)</f>
        <v/>
      </c>
      <c r="AM193" s="401">
        <f>IF(ISBLANK(Actuals!AN103),-2100*Escalation!$B$36,Actuals!AN103)</f>
        <v/>
      </c>
      <c r="AN193" s="401">
        <f>IF(ISBLANK(Actuals!AO103),-2100*Escalation!$B$37,Actuals!AO103)</f>
        <v/>
      </c>
      <c r="AO193" s="401">
        <f>IF(ISBLANK(Actuals!AP103),-2100*Escalation!$B$38,Actuals!AP103)</f>
        <v/>
      </c>
      <c r="AP193" s="401">
        <f>IF(ISBLANK(Actuals!AQ103),-2100*Escalation!$B$39,Actuals!AQ103)</f>
        <v/>
      </c>
      <c r="AQ193" s="401">
        <f>IF(ISBLANK(Actuals!AR103),-2100*Escalation!$B$40,Actuals!AR103)</f>
        <v/>
      </c>
      <c r="AR193" s="401">
        <f>IF(ISBLANK(Actuals!AS103),-2100*Escalation!$B$41,Actuals!AS103)</f>
        <v/>
      </c>
      <c r="AS193" s="401">
        <f>IF(ISBLANK(Actuals!AT103),-2100*Escalation!$B$42,Actuals!AT103)</f>
        <v/>
      </c>
      <c r="AT193" s="401">
        <f>IF(ISBLANK(Actuals!AU103),-2100*Escalation!$B$43,Actuals!AU103)</f>
        <v/>
      </c>
      <c r="AU193" s="401">
        <f>IF(ISBLANK(Actuals!AV103),-2100*Escalation!$B$44,Actuals!AV103)</f>
        <v/>
      </c>
      <c r="AV193" s="401">
        <f>IF(ISBLANK(Actuals!AW103),-2100*Escalation!$B$45,Actuals!AW103)</f>
        <v/>
      </c>
      <c r="AW193" s="401">
        <f>IF(ISBLANK(Actuals!AX103),-2100*Escalation!$B$46,Actuals!AX103)</f>
        <v/>
      </c>
      <c r="AX193" s="401">
        <f>IF(ISBLANK(Actuals!AY103),-2100*Escalation!$B$47,Actuals!AY103)</f>
        <v/>
      </c>
      <c r="AY193" s="401">
        <f>IF(ISBLANK(Actuals!AZ103),-2100*Escalation!$B$48,Actuals!AZ103)</f>
        <v/>
      </c>
      <c r="AZ193" s="401">
        <f>IF(ISBLANK(Actuals!BA103),-2100*Escalation!$B$49,Actuals!BA103)</f>
        <v/>
      </c>
      <c r="BA193" s="401">
        <f>IF(ISBLANK(Actuals!BB103),-2100*Escalation!$B$50,Actuals!BB103)</f>
        <v/>
      </c>
      <c r="BB193" s="401">
        <f>IF(ISBLANK(Actuals!BC103),-2100*Escalation!$B$51,Actuals!BC103)</f>
        <v/>
      </c>
      <c r="BC193" s="401">
        <f>IF(ISBLANK(Actuals!BD103),-2100*Escalation!$B$52,Actuals!BD103)</f>
        <v/>
      </c>
      <c r="BD193" s="401">
        <f>IF(ISBLANK(Actuals!BE103),-2100*Escalation!$B$53,Actuals!BE103)</f>
        <v/>
      </c>
      <c r="BE193" s="401">
        <f>IF(ISBLANK(Actuals!BF103),-2100*Escalation!$B$54,Actuals!BF103)</f>
        <v/>
      </c>
      <c r="BF193" s="401">
        <f>IF(ISBLANK(Actuals!BG103),-2100*Escalation!$B$55,Actuals!BG103)</f>
        <v/>
      </c>
      <c r="BG193" s="401">
        <f>IF(ISBLANK(Actuals!BH103),-2100*Escalation!$B$56,Actuals!BH103)</f>
        <v/>
      </c>
      <c r="BH193" s="401">
        <f>IF(ISBLANK(Actuals!BI103),-2100*Escalation!$B$57,Actuals!BI103)</f>
        <v/>
      </c>
      <c r="BI193" s="401">
        <f>IF(ISBLANK(Actuals!BJ103),-2100*Escalation!$B$58,Actuals!BJ103)</f>
        <v/>
      </c>
      <c r="BJ193" s="401">
        <f>IF(ISBLANK(Actuals!BK103),-2100*Escalation!$B$59,Actuals!BK103)</f>
        <v/>
      </c>
      <c r="BK193" s="401">
        <f>IF(ISBLANK(Actuals!BL103),-2100*Escalation!$B$60,Actuals!BL103)</f>
        <v/>
      </c>
      <c r="BL193" s="401">
        <f>IF(ISBLANK(Actuals!BM103),-2100*Escalation!$B$61,Actuals!BM103)</f>
        <v/>
      </c>
      <c r="BM193" s="401">
        <f>IF(ISBLANK(Actuals!BN103),-2100*Escalation!$B$62,Actuals!BN103)</f>
        <v/>
      </c>
      <c r="BN193" s="401">
        <f>IF(ISBLANK(Actuals!BO103),-2100*Escalation!$B$63,Actuals!BO103)</f>
        <v/>
      </c>
      <c r="BO193" s="401">
        <f>IF(ISBLANK(Actuals!BP103),-2100*Escalation!$B$64,Actuals!BP103)</f>
        <v/>
      </c>
      <c r="BP193" s="401">
        <f>IF(ISBLANK(Actuals!BQ103),-2100*Escalation!$B$65,Actuals!BQ103)</f>
        <v/>
      </c>
      <c r="BQ193" s="401">
        <f>IF(ISBLANK(Actuals!BR103),-2100*Escalation!$B$66,Actuals!BR103)</f>
        <v/>
      </c>
      <c r="BR193" s="401">
        <f>IF(ISBLANK(Actuals!BS103),-2100*Escalation!$B$67,Actuals!BS103)</f>
        <v/>
      </c>
      <c r="BS193" s="401">
        <f>IF(ISBLANK(Actuals!BT103),-2100*Escalation!$B$68,Actuals!BT103)</f>
        <v/>
      </c>
      <c r="BT193" s="401">
        <f>IF(ISBLANK(Actuals!BU103),-2100*Escalation!$B$69,Actuals!BU103)</f>
        <v/>
      </c>
      <c r="BU193" s="401">
        <f>IF(ISBLANK(Actuals!BV103),-2100*Escalation!$B$70,Actuals!BV103)</f>
        <v/>
      </c>
      <c r="BV193" s="401">
        <f>IF(ISBLANK(Actuals!BW103),-2100*Escalation!$B$71,Actuals!BW103)</f>
        <v/>
      </c>
      <c r="BW193" s="401">
        <f>IF(ISBLANK(Actuals!BX103),-2100*Escalation!$B$72,Actuals!BX103)</f>
        <v/>
      </c>
      <c r="BX193" s="401">
        <f>IF(ISBLANK(Actuals!BY103),-2100*Escalation!$B$73,Actuals!BY103)</f>
        <v/>
      </c>
      <c r="BY193" s="401">
        <f>IF(ISBLANK(Actuals!BZ103),-2100*Escalation!$B$74,Actuals!BZ103)</f>
        <v/>
      </c>
      <c r="BZ193" s="401">
        <f>IF(ISBLANK(Actuals!CA103),-2100*Escalation!$B$75,Actuals!CA103)</f>
        <v/>
      </c>
      <c r="CA193" s="401">
        <f>IF(ISBLANK(Actuals!CB103),-2100*Escalation!$B$76,Actuals!CB103)</f>
        <v/>
      </c>
      <c r="CB193" s="401">
        <f>IF(ISBLANK(Actuals!CC103),-2100*Escalation!$B$77,Actuals!CC103)</f>
        <v/>
      </c>
      <c r="CC193" s="401">
        <f>IF(ISBLANK(Actuals!CD103),-2100*Escalation!$B$78,Actuals!CD103)</f>
        <v/>
      </c>
      <c r="CD193" s="401">
        <f>IF(ISBLANK(Actuals!CE103),-2100*Escalation!$B$79,Actuals!CE103)</f>
        <v/>
      </c>
      <c r="CE193" s="401">
        <f>IF(ISBLANK(Actuals!CF103),-2100*Escalation!$B$80,Actuals!CF103)</f>
        <v/>
      </c>
      <c r="CF193" s="401">
        <f>IF(ISBLANK(Actuals!CG103),-2100*Escalation!$B$81,Actuals!CG103)</f>
        <v/>
      </c>
      <c r="CG193" s="401">
        <f>IF(ISBLANK(Actuals!CH103),-2100*Escalation!$B$82,Actuals!CH103)</f>
        <v/>
      </c>
      <c r="CH193" s="401">
        <f>IF(ISBLANK(Actuals!CI103),-2100*Escalation!$B$83,Actuals!CI103)</f>
        <v/>
      </c>
      <c r="CI193" s="401">
        <f>IF(ISBLANK(Actuals!CJ103),-2100*Escalation!$B$84,Actuals!CJ103)</f>
        <v/>
      </c>
      <c r="CJ193" s="401">
        <f>IF(ISBLANK(Actuals!CK103),-2100*Escalation!$B$85,Actuals!CK103)</f>
        <v/>
      </c>
      <c r="CK193" s="401">
        <f>IF(ISBLANK(Actuals!CL103),-2100*Escalation!$B$86,Actuals!CL103)</f>
        <v/>
      </c>
      <c r="CL193" s="401">
        <f>IF(ISBLANK(Actuals!CM103),-2100*Escalation!$B$87,Actuals!CM103)</f>
        <v/>
      </c>
      <c r="CM193" s="401">
        <f>IF(ISBLANK(Actuals!CN103),-2100*Escalation!$B$88,Actuals!CN103)</f>
        <v/>
      </c>
      <c r="CN193" s="401">
        <f>IF(ISBLANK(Actuals!CO103),-2100*Escalation!$B$89,Actuals!CO103)</f>
        <v/>
      </c>
      <c r="CO193" s="401">
        <f>IF(ISBLANK(Actuals!CP103),-2100*Escalation!$B$90,Actuals!CP103)</f>
        <v/>
      </c>
      <c r="CP193" s="401">
        <f>IF(ISBLANK(Actuals!CQ103),-2100*Escalation!$B$91,Actuals!CQ103)</f>
        <v/>
      </c>
      <c r="CQ193" s="401">
        <f>IF(ISBLANK(Actuals!CR103),-2100*Escalation!$B$92,Actuals!CR103)</f>
        <v/>
      </c>
      <c r="CR193" s="401">
        <f>IF(ISBLANK(Actuals!CS103),-2100*Escalation!$B$93,Actuals!CS103)</f>
        <v/>
      </c>
      <c r="CS193" s="401">
        <f>IF(ISBLANK(Actuals!CT103),-2100*Escalation!$B$94,Actuals!CT103)</f>
        <v/>
      </c>
      <c r="CT193" s="401">
        <f>IF(ISBLANK(Actuals!CU103),-2100*Escalation!$B$95,Actuals!CU103)</f>
        <v/>
      </c>
      <c r="CU193" s="401">
        <f>IF(ISBLANK(Actuals!CV103),-2100*Escalation!$B$96,Actuals!CV103)</f>
        <v/>
      </c>
      <c r="CV193" s="401">
        <f>IF(ISBLANK(Actuals!CW103),-2100*Escalation!$B$97,Actuals!CW103)</f>
        <v/>
      </c>
      <c r="CW193" s="401">
        <f>IF(ISBLANK(Actuals!CX103),-2100*Escalation!$B$98,Actuals!CX103)</f>
        <v/>
      </c>
      <c r="CX193" s="401">
        <f>IF(ISBLANK(Actuals!CY103),-2100*Escalation!$B$99,Actuals!CY103)</f>
        <v/>
      </c>
      <c r="CY193" s="401">
        <f>IF(ISBLANK(Actuals!CZ103),-2100*Escalation!$B$100,Actuals!CZ103)</f>
        <v/>
      </c>
      <c r="CZ193" s="401">
        <f>IF(ISBLANK(Actuals!DA103),-2100*Escalation!$B$101,Actuals!DA103)</f>
        <v/>
      </c>
      <c r="DA193" s="401">
        <f>IF(ISBLANK(Actuals!DB103),-2100*Escalation!$B$102,Actuals!DB103)</f>
        <v/>
      </c>
      <c r="DB193" s="401">
        <f>IF(ISBLANK(Actuals!DC103),-2100*Escalation!$B$103,Actuals!DC103)</f>
        <v/>
      </c>
      <c r="DC193" s="401">
        <f>IF(ISBLANK(Actuals!DD103),-2100*Escalation!$B$104,Actuals!DD103)</f>
        <v/>
      </c>
      <c r="DD193" s="401">
        <f>IF(ISBLANK(Actuals!DE103),-2100*Escalation!$B$105,Actuals!DE103)</f>
        <v/>
      </c>
      <c r="DE193" s="401">
        <f>IF(ISBLANK(Actuals!DF103),-2100*Escalation!$B$106,Actuals!DF103)</f>
        <v/>
      </c>
    </row>
    <row r="194" ht="15" customFormat="1" customHeight="1" s="380">
      <c r="A194" s="415" t="inlineStr">
        <is>
          <t>5800-1003 Consulting Fee</t>
        </is>
      </c>
      <c r="B194" s="401">
        <f>IF(ISBLANK(Actuals!C104),0,Actuals!C104)</f>
        <v/>
      </c>
      <c r="C194" s="401">
        <f>IF(ISBLANK(Actuals!D104),0,Actuals!D104)</f>
        <v/>
      </c>
      <c r="D194" s="401">
        <f>IF(ISBLANK(Actuals!E104),0,Actuals!E104)</f>
        <v/>
      </c>
      <c r="E194" s="401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1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1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1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1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1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1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1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1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1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1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1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1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1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1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1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1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1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1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1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1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1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1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1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1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1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1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1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1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1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1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1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1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1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1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1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1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1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1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1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1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1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1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1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1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1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1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1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1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1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1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1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1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1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1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1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1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1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1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1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1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1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1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1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1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1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1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1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1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1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1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1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1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1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1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1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1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1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1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1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1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1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1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1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1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1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1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1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1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1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1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1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1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1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1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1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1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1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1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1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1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1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1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1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1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Format="1" customHeight="1" s="380">
      <c r="A195" s="397" t="inlineStr">
        <is>
          <t>5900-1075 Miscellaneous Expense</t>
        </is>
      </c>
      <c r="B195" s="392">
        <f>IF(ISBLANK(Actuals!C105),0,Actuals!C105)</f>
        <v/>
      </c>
      <c r="C195" s="392">
        <f>IF(ISBLANK(Actuals!D105),0,Actuals!D105)</f>
        <v/>
      </c>
      <c r="D195" s="392">
        <f>IF(ISBLANK(Actuals!E105),0,Actuals!E105)</f>
        <v/>
      </c>
      <c r="E195" s="392">
        <f>IF(ISBLANK(Actuals!F105),-1580.65*Escalation!$B$2,Actuals!F105)</f>
        <v/>
      </c>
      <c r="F195" s="392">
        <f>IF(ISBLANK(Actuals!G105),-1580.65*Escalation!$B$3,Actuals!G105)</f>
        <v/>
      </c>
      <c r="G195" s="392">
        <f>IF(ISBLANK(Actuals!H105),-1580.65*Escalation!$B$4,Actuals!H105)</f>
        <v/>
      </c>
      <c r="H195" s="392">
        <f>IF(ISBLANK(Actuals!I105),-1580.65*Escalation!$B$5,Actuals!I105)</f>
        <v/>
      </c>
      <c r="I195" s="392">
        <f>IF(ISBLANK(Actuals!J105),-1580.65*Escalation!$B$6,Actuals!J105)</f>
        <v/>
      </c>
      <c r="J195" s="392">
        <f>IF(ISBLANK(Actuals!K105),-1580.65*Escalation!$B$7,Actuals!K105)</f>
        <v/>
      </c>
      <c r="K195" s="392">
        <f>IF(ISBLANK(Actuals!L105),-1580.65*Escalation!$B$8,Actuals!L105)</f>
        <v/>
      </c>
      <c r="L195" s="392">
        <f>IF(ISBLANK(Actuals!M105),-1580.65*Escalation!$B$9,Actuals!M105)</f>
        <v/>
      </c>
      <c r="M195" s="392">
        <f>IF(ISBLANK(Actuals!N105),-1580.65*Escalation!$B$10,Actuals!N105)</f>
        <v/>
      </c>
      <c r="N195" s="392">
        <f>IF(ISBLANK(Actuals!O105),-1580.65*Escalation!$B$11,Actuals!O105)</f>
        <v/>
      </c>
      <c r="O195" s="392">
        <f>IF(ISBLANK(Actuals!P105),-1580.65*Escalation!$B$12,Actuals!P105)</f>
        <v/>
      </c>
      <c r="P195" s="392">
        <f>IF(ISBLANK(Actuals!Q105),-1580.65*Escalation!$B$13,Actuals!Q105)</f>
        <v/>
      </c>
      <c r="Q195" s="392">
        <f>IF(ISBLANK(Actuals!R105),-1580.65*Escalation!$B$14,Actuals!R105)</f>
        <v/>
      </c>
      <c r="R195" s="392">
        <f>IF(ISBLANK(Actuals!S105),-1580.65*Escalation!$B$15,Actuals!S105)</f>
        <v/>
      </c>
      <c r="S195" s="392">
        <f>IF(ISBLANK(Actuals!T105),-1580.65*Escalation!$B$16,Actuals!T105)</f>
        <v/>
      </c>
      <c r="T195" s="392">
        <f>IF(ISBLANK(Actuals!U105),-1580.65*Escalation!$B$17,Actuals!U105)</f>
        <v/>
      </c>
      <c r="U195" s="392">
        <f>IF(ISBLANK(Actuals!V105),-1580.65*Escalation!$B$18,Actuals!V105)</f>
        <v/>
      </c>
      <c r="V195" s="392">
        <f>IF(ISBLANK(Actuals!W105),-1580.65*Escalation!$B$19,Actuals!W105)</f>
        <v/>
      </c>
      <c r="W195" s="392">
        <f>IF(ISBLANK(Actuals!X105),-1580.65*Escalation!$B$20,Actuals!X105)</f>
        <v/>
      </c>
      <c r="X195" s="392">
        <f>IF(ISBLANK(Actuals!Y105),-1580.65*Escalation!$B$21,Actuals!Y105)</f>
        <v/>
      </c>
      <c r="Y195" s="392">
        <f>IF(ISBLANK(Actuals!Z105),-1580.65*Escalation!$B$22,Actuals!Z105)</f>
        <v/>
      </c>
      <c r="Z195" s="392">
        <f>IF(ISBLANK(Actuals!AA105),-1580.65*Escalation!$B$23,Actuals!AA105)</f>
        <v/>
      </c>
      <c r="AA195" s="392">
        <f>IF(ISBLANK(Actuals!AB105),-1580.65*Escalation!$B$24,Actuals!AB105)</f>
        <v/>
      </c>
      <c r="AB195" s="392">
        <f>IF(ISBLANK(Actuals!AC105),-1580.65*Escalation!$B$25,Actuals!AC105)</f>
        <v/>
      </c>
      <c r="AC195" s="392">
        <f>IF(ISBLANK(Actuals!AD105),-1580.65*Escalation!$B$26,Actuals!AD105)</f>
        <v/>
      </c>
      <c r="AD195" s="392">
        <f>IF(ISBLANK(Actuals!AE105),-1580.65*Escalation!$B$27,Actuals!AE105)</f>
        <v/>
      </c>
      <c r="AE195" s="392">
        <f>IF(ISBLANK(Actuals!AF105),-1580.65*Escalation!$B$28,Actuals!AF105)</f>
        <v/>
      </c>
      <c r="AF195" s="392">
        <f>IF(ISBLANK(Actuals!AG105),-1580.65*Escalation!$B$29,Actuals!AG105)</f>
        <v/>
      </c>
      <c r="AG195" s="392">
        <f>IF(ISBLANK(Actuals!AH105),-1580.65*Escalation!$B$30,Actuals!AH105)</f>
        <v/>
      </c>
      <c r="AH195" s="392">
        <f>IF(ISBLANK(Actuals!AI105),-1580.65*Escalation!$B$31,Actuals!AI105)</f>
        <v/>
      </c>
      <c r="AI195" s="392">
        <f>IF(ISBLANK(Actuals!AJ105),-1580.65*Escalation!$B$32,Actuals!AJ105)</f>
        <v/>
      </c>
      <c r="AJ195" s="392">
        <f>IF(ISBLANK(Actuals!AK105),-1580.65*Escalation!$B$33,Actuals!AK105)</f>
        <v/>
      </c>
      <c r="AK195" s="392">
        <f>IF(ISBLANK(Actuals!AL105),-1580.65*Escalation!$B$34,Actuals!AL105)</f>
        <v/>
      </c>
      <c r="AL195" s="392">
        <f>IF(ISBLANK(Actuals!AM105),-1580.65*Escalation!$B$35,Actuals!AM105)</f>
        <v/>
      </c>
      <c r="AM195" s="392">
        <f>IF(ISBLANK(Actuals!AN105),-1580.65*Escalation!$B$36,Actuals!AN105)</f>
        <v/>
      </c>
      <c r="AN195" s="392">
        <f>IF(ISBLANK(Actuals!AO105),-1580.65*Escalation!$B$37,Actuals!AO105)</f>
        <v/>
      </c>
      <c r="AO195" s="392">
        <f>IF(ISBLANK(Actuals!AP105),-1580.65*Escalation!$B$38,Actuals!AP105)</f>
        <v/>
      </c>
      <c r="AP195" s="392">
        <f>IF(ISBLANK(Actuals!AQ105),-1580.65*Escalation!$B$39,Actuals!AQ105)</f>
        <v/>
      </c>
      <c r="AQ195" s="392">
        <f>IF(ISBLANK(Actuals!AR105),-1580.65*Escalation!$B$40,Actuals!AR105)</f>
        <v/>
      </c>
      <c r="AR195" s="392">
        <f>IF(ISBLANK(Actuals!AS105),-1580.65*Escalation!$B$41,Actuals!AS105)</f>
        <v/>
      </c>
      <c r="AS195" s="392">
        <f>IF(ISBLANK(Actuals!AT105),-1580.65*Escalation!$B$42,Actuals!AT105)</f>
        <v/>
      </c>
      <c r="AT195" s="392">
        <f>IF(ISBLANK(Actuals!AU105),-1580.65*Escalation!$B$43,Actuals!AU105)</f>
        <v/>
      </c>
      <c r="AU195" s="392">
        <f>IF(ISBLANK(Actuals!AV105),-1580.65*Escalation!$B$44,Actuals!AV105)</f>
        <v/>
      </c>
      <c r="AV195" s="392">
        <f>IF(ISBLANK(Actuals!AW105),-1580.65*Escalation!$B$45,Actuals!AW105)</f>
        <v/>
      </c>
      <c r="AW195" s="392">
        <f>IF(ISBLANK(Actuals!AX105),-1580.65*Escalation!$B$46,Actuals!AX105)</f>
        <v/>
      </c>
      <c r="AX195" s="392">
        <f>IF(ISBLANK(Actuals!AY105),-1580.65*Escalation!$B$47,Actuals!AY105)</f>
        <v/>
      </c>
      <c r="AY195" s="392">
        <f>IF(ISBLANK(Actuals!AZ105),-1580.65*Escalation!$B$48,Actuals!AZ105)</f>
        <v/>
      </c>
      <c r="AZ195" s="392">
        <f>IF(ISBLANK(Actuals!BA105),-1580.65*Escalation!$B$49,Actuals!BA105)</f>
        <v/>
      </c>
      <c r="BA195" s="392">
        <f>IF(ISBLANK(Actuals!BB105),-1580.65*Escalation!$B$50,Actuals!BB105)</f>
        <v/>
      </c>
      <c r="BB195" s="392">
        <f>IF(ISBLANK(Actuals!BC105),-1580.65*Escalation!$B$51,Actuals!BC105)</f>
        <v/>
      </c>
      <c r="BC195" s="392">
        <f>IF(ISBLANK(Actuals!BD105),-1580.65*Escalation!$B$52,Actuals!BD105)</f>
        <v/>
      </c>
      <c r="BD195" s="392">
        <f>IF(ISBLANK(Actuals!BE105),-1580.65*Escalation!$B$53,Actuals!BE105)</f>
        <v/>
      </c>
      <c r="BE195" s="392">
        <f>IF(ISBLANK(Actuals!BF105),-1580.65*Escalation!$B$54,Actuals!BF105)</f>
        <v/>
      </c>
      <c r="BF195" s="392">
        <f>IF(ISBLANK(Actuals!BG105),-1580.65*Escalation!$B$55,Actuals!BG105)</f>
        <v/>
      </c>
      <c r="BG195" s="392">
        <f>IF(ISBLANK(Actuals!BH105),-1580.65*Escalation!$B$56,Actuals!BH105)</f>
        <v/>
      </c>
      <c r="BH195" s="392">
        <f>IF(ISBLANK(Actuals!BI105),-1580.65*Escalation!$B$57,Actuals!BI105)</f>
        <v/>
      </c>
      <c r="BI195" s="392">
        <f>IF(ISBLANK(Actuals!BJ105),-1580.65*Escalation!$B$58,Actuals!BJ105)</f>
        <v/>
      </c>
      <c r="BJ195" s="392">
        <f>IF(ISBLANK(Actuals!BK105),-1580.65*Escalation!$B$59,Actuals!BK105)</f>
        <v/>
      </c>
      <c r="BK195" s="392">
        <f>IF(ISBLANK(Actuals!BL105),-1580.65*Escalation!$B$60,Actuals!BL105)</f>
        <v/>
      </c>
      <c r="BL195" s="392">
        <f>IF(ISBLANK(Actuals!BM105),-1580.65*Escalation!$B$61,Actuals!BM105)</f>
        <v/>
      </c>
      <c r="BM195" s="392">
        <f>IF(ISBLANK(Actuals!BN105),-1580.65*Escalation!$B$62,Actuals!BN105)</f>
        <v/>
      </c>
      <c r="BN195" s="392">
        <f>IF(ISBLANK(Actuals!BO105),-1580.65*Escalation!$B$63,Actuals!BO105)</f>
        <v/>
      </c>
      <c r="BO195" s="392">
        <f>IF(ISBLANK(Actuals!BP105),-1580.65*Escalation!$B$64,Actuals!BP105)</f>
        <v/>
      </c>
      <c r="BP195" s="392">
        <f>IF(ISBLANK(Actuals!BQ105),-1580.65*Escalation!$B$65,Actuals!BQ105)</f>
        <v/>
      </c>
      <c r="BQ195" s="392">
        <f>IF(ISBLANK(Actuals!BR105),-1580.65*Escalation!$B$66,Actuals!BR105)</f>
        <v/>
      </c>
      <c r="BR195" s="392">
        <f>IF(ISBLANK(Actuals!BS105),-1580.65*Escalation!$B$67,Actuals!BS105)</f>
        <v/>
      </c>
      <c r="BS195" s="392">
        <f>IF(ISBLANK(Actuals!BT105),-1580.65*Escalation!$B$68,Actuals!BT105)</f>
        <v/>
      </c>
      <c r="BT195" s="392">
        <f>IF(ISBLANK(Actuals!BU105),-1580.65*Escalation!$B$69,Actuals!BU105)</f>
        <v/>
      </c>
      <c r="BU195" s="392">
        <f>IF(ISBLANK(Actuals!BV105),-1580.65*Escalation!$B$70,Actuals!BV105)</f>
        <v/>
      </c>
      <c r="BV195" s="392">
        <f>IF(ISBLANK(Actuals!BW105),-1580.65*Escalation!$B$71,Actuals!BW105)</f>
        <v/>
      </c>
      <c r="BW195" s="392">
        <f>IF(ISBLANK(Actuals!BX105),-1580.65*Escalation!$B$72,Actuals!BX105)</f>
        <v/>
      </c>
      <c r="BX195" s="392">
        <f>IF(ISBLANK(Actuals!BY105),-1580.65*Escalation!$B$73,Actuals!BY105)</f>
        <v/>
      </c>
      <c r="BY195" s="392">
        <f>IF(ISBLANK(Actuals!BZ105),-1580.65*Escalation!$B$74,Actuals!BZ105)</f>
        <v/>
      </c>
      <c r="BZ195" s="392">
        <f>IF(ISBLANK(Actuals!CA105),-1580.65*Escalation!$B$75,Actuals!CA105)</f>
        <v/>
      </c>
      <c r="CA195" s="392">
        <f>IF(ISBLANK(Actuals!CB105),-1580.65*Escalation!$B$76,Actuals!CB105)</f>
        <v/>
      </c>
      <c r="CB195" s="392">
        <f>IF(ISBLANK(Actuals!CC105),-1580.65*Escalation!$B$77,Actuals!CC105)</f>
        <v/>
      </c>
      <c r="CC195" s="392">
        <f>IF(ISBLANK(Actuals!CD105),-1580.65*Escalation!$B$78,Actuals!CD105)</f>
        <v/>
      </c>
      <c r="CD195" s="392">
        <f>IF(ISBLANK(Actuals!CE105),-1580.65*Escalation!$B$79,Actuals!CE105)</f>
        <v/>
      </c>
      <c r="CE195" s="392">
        <f>IF(ISBLANK(Actuals!CF105),-1580.65*Escalation!$B$80,Actuals!CF105)</f>
        <v/>
      </c>
      <c r="CF195" s="392">
        <f>IF(ISBLANK(Actuals!CG105),-1580.65*Escalation!$B$81,Actuals!CG105)</f>
        <v/>
      </c>
      <c r="CG195" s="392">
        <f>IF(ISBLANK(Actuals!CH105),-1580.65*Escalation!$B$82,Actuals!CH105)</f>
        <v/>
      </c>
      <c r="CH195" s="392">
        <f>IF(ISBLANK(Actuals!CI105),-1580.65*Escalation!$B$83,Actuals!CI105)</f>
        <v/>
      </c>
      <c r="CI195" s="392">
        <f>IF(ISBLANK(Actuals!CJ105),-1580.65*Escalation!$B$84,Actuals!CJ105)</f>
        <v/>
      </c>
      <c r="CJ195" s="392">
        <f>IF(ISBLANK(Actuals!CK105),-1580.65*Escalation!$B$85,Actuals!CK105)</f>
        <v/>
      </c>
      <c r="CK195" s="392">
        <f>IF(ISBLANK(Actuals!CL105),-1580.65*Escalation!$B$86,Actuals!CL105)</f>
        <v/>
      </c>
      <c r="CL195" s="392">
        <f>IF(ISBLANK(Actuals!CM105),-1580.65*Escalation!$B$87,Actuals!CM105)</f>
        <v/>
      </c>
      <c r="CM195" s="392">
        <f>IF(ISBLANK(Actuals!CN105),-1580.65*Escalation!$B$88,Actuals!CN105)</f>
        <v/>
      </c>
      <c r="CN195" s="392">
        <f>IF(ISBLANK(Actuals!CO105),-1580.65*Escalation!$B$89,Actuals!CO105)</f>
        <v/>
      </c>
      <c r="CO195" s="392">
        <f>IF(ISBLANK(Actuals!CP105),-1580.65*Escalation!$B$90,Actuals!CP105)</f>
        <v/>
      </c>
      <c r="CP195" s="392">
        <f>IF(ISBLANK(Actuals!CQ105),-1580.65*Escalation!$B$91,Actuals!CQ105)</f>
        <v/>
      </c>
      <c r="CQ195" s="392">
        <f>IF(ISBLANK(Actuals!CR105),-1580.65*Escalation!$B$92,Actuals!CR105)</f>
        <v/>
      </c>
      <c r="CR195" s="392">
        <f>IF(ISBLANK(Actuals!CS105),-1580.65*Escalation!$B$93,Actuals!CS105)</f>
        <v/>
      </c>
      <c r="CS195" s="392">
        <f>IF(ISBLANK(Actuals!CT105),-1580.65*Escalation!$B$94,Actuals!CT105)</f>
        <v/>
      </c>
      <c r="CT195" s="392">
        <f>IF(ISBLANK(Actuals!CU105),-1580.65*Escalation!$B$95,Actuals!CU105)</f>
        <v/>
      </c>
      <c r="CU195" s="392">
        <f>IF(ISBLANK(Actuals!CV105),-1580.65*Escalation!$B$96,Actuals!CV105)</f>
        <v/>
      </c>
      <c r="CV195" s="392">
        <f>IF(ISBLANK(Actuals!CW105),-1580.65*Escalation!$B$97,Actuals!CW105)</f>
        <v/>
      </c>
      <c r="CW195" s="392">
        <f>IF(ISBLANK(Actuals!CX105),-1580.65*Escalation!$B$98,Actuals!CX105)</f>
        <v/>
      </c>
      <c r="CX195" s="392">
        <f>IF(ISBLANK(Actuals!CY105),-1580.65*Escalation!$B$99,Actuals!CY105)</f>
        <v/>
      </c>
      <c r="CY195" s="392">
        <f>IF(ISBLANK(Actuals!CZ105),-1580.65*Escalation!$B$100,Actuals!CZ105)</f>
        <v/>
      </c>
      <c r="CZ195" s="392">
        <f>IF(ISBLANK(Actuals!DA105),-1580.65*Escalation!$B$101,Actuals!DA105)</f>
        <v/>
      </c>
      <c r="DA195" s="392">
        <f>IF(ISBLANK(Actuals!DB105),-1580.65*Escalation!$B$102,Actuals!DB105)</f>
        <v/>
      </c>
      <c r="DB195" s="392">
        <f>IF(ISBLANK(Actuals!DC105),-1580.65*Escalation!$B$103,Actuals!DC105)</f>
        <v/>
      </c>
      <c r="DC195" s="392">
        <f>IF(ISBLANK(Actuals!DD105),-1580.65*Escalation!$B$104,Actuals!DD105)</f>
        <v/>
      </c>
      <c r="DD195" s="392">
        <f>IF(ISBLANK(Actuals!DE105),-1580.65*Escalation!$B$105,Actuals!DE105)</f>
        <v/>
      </c>
      <c r="DE195" s="392">
        <f>IF(ISBLANK(Actuals!DF105),-1580.65*Escalation!$B$106,Actuals!DF105)</f>
        <v/>
      </c>
    </row>
    <row r="196" ht="15" customFormat="1" customHeight="1" s="380">
      <c r="A196" s="397" t="inlineStr">
        <is>
          <t>5900-1080 Bank Service Charges</t>
        </is>
      </c>
      <c r="B196" s="392">
        <f>IF(ISBLANK(Actuals!C106),0,Actuals!C106)</f>
        <v/>
      </c>
      <c r="C196" s="392">
        <f>IF(ISBLANK(Actuals!D106),0,Actuals!D106)</f>
        <v/>
      </c>
      <c r="D196" s="392">
        <f>IF(ISBLANK(Actuals!E106),0,Actuals!E106)</f>
        <v/>
      </c>
      <c r="E196" s="392">
        <f>IF(ISBLANK(Actuals!F106),-446.63*Escalation!$B$2,Actuals!F106)</f>
        <v/>
      </c>
      <c r="F196" s="392">
        <f>IF(ISBLANK(Actuals!G106),-446.63*Escalation!$B$3,Actuals!G106)</f>
        <v/>
      </c>
      <c r="G196" s="392">
        <f>IF(ISBLANK(Actuals!H106),-446.63*Escalation!$B$4,Actuals!H106)</f>
        <v/>
      </c>
      <c r="H196" s="392">
        <f>IF(ISBLANK(Actuals!I106),-446.63*Escalation!$B$5,Actuals!I106)</f>
        <v/>
      </c>
      <c r="I196" s="392">
        <f>IF(ISBLANK(Actuals!J106),-446.63*Escalation!$B$6,Actuals!J106)</f>
        <v/>
      </c>
      <c r="J196" s="392">
        <f>IF(ISBLANK(Actuals!K106),-446.63*Escalation!$B$7,Actuals!K106)</f>
        <v/>
      </c>
      <c r="K196" s="392">
        <f>IF(ISBLANK(Actuals!L106),-446.63*Escalation!$B$8,Actuals!L106)</f>
        <v/>
      </c>
      <c r="L196" s="392">
        <f>IF(ISBLANK(Actuals!M106),-446.63*Escalation!$B$9,Actuals!M106)</f>
        <v/>
      </c>
      <c r="M196" s="392">
        <f>IF(ISBLANK(Actuals!N106),-446.63*Escalation!$B$10,Actuals!N106)</f>
        <v/>
      </c>
      <c r="N196" s="392">
        <f>IF(ISBLANK(Actuals!O106),-446.63*Escalation!$B$11,Actuals!O106)</f>
        <v/>
      </c>
      <c r="O196" s="392">
        <f>IF(ISBLANK(Actuals!P106),-446.63*Escalation!$B$12,Actuals!P106)</f>
        <v/>
      </c>
      <c r="P196" s="392">
        <f>IF(ISBLANK(Actuals!Q106),-446.63*Escalation!$B$13,Actuals!Q106)</f>
        <v/>
      </c>
      <c r="Q196" s="392">
        <f>IF(ISBLANK(Actuals!R106),-446.63*Escalation!$B$14,Actuals!R106)</f>
        <v/>
      </c>
      <c r="R196" s="392">
        <f>IF(ISBLANK(Actuals!S106),-446.63*Escalation!$B$15,Actuals!S106)</f>
        <v/>
      </c>
      <c r="S196" s="392">
        <f>IF(ISBLANK(Actuals!T106),-446.63*Escalation!$B$16,Actuals!T106)</f>
        <v/>
      </c>
      <c r="T196" s="392">
        <f>IF(ISBLANK(Actuals!U106),-446.63*Escalation!$B$17,Actuals!U106)</f>
        <v/>
      </c>
      <c r="U196" s="392">
        <f>IF(ISBLANK(Actuals!V106),-446.63*Escalation!$B$18,Actuals!V106)</f>
        <v/>
      </c>
      <c r="V196" s="392">
        <f>IF(ISBLANK(Actuals!W106),-446.63*Escalation!$B$19,Actuals!W106)</f>
        <v/>
      </c>
      <c r="W196" s="392">
        <f>IF(ISBLANK(Actuals!X106),-446.63*Escalation!$B$20,Actuals!X106)</f>
        <v/>
      </c>
      <c r="X196" s="392">
        <f>IF(ISBLANK(Actuals!Y106),-446.63*Escalation!$B$21,Actuals!Y106)</f>
        <v/>
      </c>
      <c r="Y196" s="392">
        <f>IF(ISBLANK(Actuals!Z106),-446.63*Escalation!$B$22,Actuals!Z106)</f>
        <v/>
      </c>
      <c r="Z196" s="392">
        <f>IF(ISBLANK(Actuals!AA106),-446.63*Escalation!$B$23,Actuals!AA106)</f>
        <v/>
      </c>
      <c r="AA196" s="392">
        <f>IF(ISBLANK(Actuals!AB106),-446.63*Escalation!$B$24,Actuals!AB106)</f>
        <v/>
      </c>
      <c r="AB196" s="392">
        <f>IF(ISBLANK(Actuals!AC106),-446.63*Escalation!$B$25,Actuals!AC106)</f>
        <v/>
      </c>
      <c r="AC196" s="392">
        <f>IF(ISBLANK(Actuals!AD106),-446.63*Escalation!$B$26,Actuals!AD106)</f>
        <v/>
      </c>
      <c r="AD196" s="392">
        <f>IF(ISBLANK(Actuals!AE106),-446.63*Escalation!$B$27,Actuals!AE106)</f>
        <v/>
      </c>
      <c r="AE196" s="392">
        <f>IF(ISBLANK(Actuals!AF106),-446.63*Escalation!$B$28,Actuals!AF106)</f>
        <v/>
      </c>
      <c r="AF196" s="392">
        <f>IF(ISBLANK(Actuals!AG106),-446.63*Escalation!$B$29,Actuals!AG106)</f>
        <v/>
      </c>
      <c r="AG196" s="392">
        <f>IF(ISBLANK(Actuals!AH106),-446.63*Escalation!$B$30,Actuals!AH106)</f>
        <v/>
      </c>
      <c r="AH196" s="392">
        <f>IF(ISBLANK(Actuals!AI106),-446.63*Escalation!$B$31,Actuals!AI106)</f>
        <v/>
      </c>
      <c r="AI196" s="392">
        <f>IF(ISBLANK(Actuals!AJ106),-446.63*Escalation!$B$32,Actuals!AJ106)</f>
        <v/>
      </c>
      <c r="AJ196" s="392">
        <f>IF(ISBLANK(Actuals!AK106),-446.63*Escalation!$B$33,Actuals!AK106)</f>
        <v/>
      </c>
      <c r="AK196" s="392">
        <f>IF(ISBLANK(Actuals!AL106),-446.63*Escalation!$B$34,Actuals!AL106)</f>
        <v/>
      </c>
      <c r="AL196" s="392">
        <f>IF(ISBLANK(Actuals!AM106),-446.63*Escalation!$B$35,Actuals!AM106)</f>
        <v/>
      </c>
      <c r="AM196" s="392">
        <f>IF(ISBLANK(Actuals!AN106),-446.63*Escalation!$B$36,Actuals!AN106)</f>
        <v/>
      </c>
      <c r="AN196" s="392">
        <f>IF(ISBLANK(Actuals!AO106),-446.63*Escalation!$B$37,Actuals!AO106)</f>
        <v/>
      </c>
      <c r="AO196" s="392">
        <f>IF(ISBLANK(Actuals!AP106),-446.63*Escalation!$B$38,Actuals!AP106)</f>
        <v/>
      </c>
      <c r="AP196" s="392">
        <f>IF(ISBLANK(Actuals!AQ106),-446.63*Escalation!$B$39,Actuals!AQ106)</f>
        <v/>
      </c>
      <c r="AQ196" s="392">
        <f>IF(ISBLANK(Actuals!AR106),-446.63*Escalation!$B$40,Actuals!AR106)</f>
        <v/>
      </c>
      <c r="AR196" s="392">
        <f>IF(ISBLANK(Actuals!AS106),-446.63*Escalation!$B$41,Actuals!AS106)</f>
        <v/>
      </c>
      <c r="AS196" s="392">
        <f>IF(ISBLANK(Actuals!AT106),-446.63*Escalation!$B$42,Actuals!AT106)</f>
        <v/>
      </c>
      <c r="AT196" s="392">
        <f>IF(ISBLANK(Actuals!AU106),-446.63*Escalation!$B$43,Actuals!AU106)</f>
        <v/>
      </c>
      <c r="AU196" s="392">
        <f>IF(ISBLANK(Actuals!AV106),-446.63*Escalation!$B$44,Actuals!AV106)</f>
        <v/>
      </c>
      <c r="AV196" s="392">
        <f>IF(ISBLANK(Actuals!AW106),-446.63*Escalation!$B$45,Actuals!AW106)</f>
        <v/>
      </c>
      <c r="AW196" s="392">
        <f>IF(ISBLANK(Actuals!AX106),-446.63*Escalation!$B$46,Actuals!AX106)</f>
        <v/>
      </c>
      <c r="AX196" s="392">
        <f>IF(ISBLANK(Actuals!AY106),-446.63*Escalation!$B$47,Actuals!AY106)</f>
        <v/>
      </c>
      <c r="AY196" s="392">
        <f>IF(ISBLANK(Actuals!AZ106),-446.63*Escalation!$B$48,Actuals!AZ106)</f>
        <v/>
      </c>
      <c r="AZ196" s="392">
        <f>IF(ISBLANK(Actuals!BA106),-446.63*Escalation!$B$49,Actuals!BA106)</f>
        <v/>
      </c>
      <c r="BA196" s="392">
        <f>IF(ISBLANK(Actuals!BB106),-446.63*Escalation!$B$50,Actuals!BB106)</f>
        <v/>
      </c>
      <c r="BB196" s="392">
        <f>IF(ISBLANK(Actuals!BC106),-446.63*Escalation!$B$51,Actuals!BC106)</f>
        <v/>
      </c>
      <c r="BC196" s="392">
        <f>IF(ISBLANK(Actuals!BD106),-446.63*Escalation!$B$52,Actuals!BD106)</f>
        <v/>
      </c>
      <c r="BD196" s="392">
        <f>IF(ISBLANK(Actuals!BE106),-446.63*Escalation!$B$53,Actuals!BE106)</f>
        <v/>
      </c>
      <c r="BE196" s="392">
        <f>IF(ISBLANK(Actuals!BF106),-446.63*Escalation!$B$54,Actuals!BF106)</f>
        <v/>
      </c>
      <c r="BF196" s="392">
        <f>IF(ISBLANK(Actuals!BG106),-446.63*Escalation!$B$55,Actuals!BG106)</f>
        <v/>
      </c>
      <c r="BG196" s="392">
        <f>IF(ISBLANK(Actuals!BH106),-446.63*Escalation!$B$56,Actuals!BH106)</f>
        <v/>
      </c>
      <c r="BH196" s="392">
        <f>IF(ISBLANK(Actuals!BI106),-446.63*Escalation!$B$57,Actuals!BI106)</f>
        <v/>
      </c>
      <c r="BI196" s="392">
        <f>IF(ISBLANK(Actuals!BJ106),-446.63*Escalation!$B$58,Actuals!BJ106)</f>
        <v/>
      </c>
      <c r="BJ196" s="392">
        <f>IF(ISBLANK(Actuals!BK106),-446.63*Escalation!$B$59,Actuals!BK106)</f>
        <v/>
      </c>
      <c r="BK196" s="392">
        <f>IF(ISBLANK(Actuals!BL106),-446.63*Escalation!$B$60,Actuals!BL106)</f>
        <v/>
      </c>
      <c r="BL196" s="392">
        <f>IF(ISBLANK(Actuals!BM106),-446.63*Escalation!$B$61,Actuals!BM106)</f>
        <v/>
      </c>
      <c r="BM196" s="392">
        <f>IF(ISBLANK(Actuals!BN106),-446.63*Escalation!$B$62,Actuals!BN106)</f>
        <v/>
      </c>
      <c r="BN196" s="392">
        <f>IF(ISBLANK(Actuals!BO106),-446.63*Escalation!$B$63,Actuals!BO106)</f>
        <v/>
      </c>
      <c r="BO196" s="392">
        <f>IF(ISBLANK(Actuals!BP106),-446.63*Escalation!$B$64,Actuals!BP106)</f>
        <v/>
      </c>
      <c r="BP196" s="392">
        <f>IF(ISBLANK(Actuals!BQ106),-446.63*Escalation!$B$65,Actuals!BQ106)</f>
        <v/>
      </c>
      <c r="BQ196" s="392">
        <f>IF(ISBLANK(Actuals!BR106),-446.63*Escalation!$B$66,Actuals!BR106)</f>
        <v/>
      </c>
      <c r="BR196" s="392">
        <f>IF(ISBLANK(Actuals!BS106),-446.63*Escalation!$B$67,Actuals!BS106)</f>
        <v/>
      </c>
      <c r="BS196" s="392">
        <f>IF(ISBLANK(Actuals!BT106),-446.63*Escalation!$B$68,Actuals!BT106)</f>
        <v/>
      </c>
      <c r="BT196" s="392">
        <f>IF(ISBLANK(Actuals!BU106),-446.63*Escalation!$B$69,Actuals!BU106)</f>
        <v/>
      </c>
      <c r="BU196" s="392">
        <f>IF(ISBLANK(Actuals!BV106),-446.63*Escalation!$B$70,Actuals!BV106)</f>
        <v/>
      </c>
      <c r="BV196" s="392">
        <f>IF(ISBLANK(Actuals!BW106),-446.63*Escalation!$B$71,Actuals!BW106)</f>
        <v/>
      </c>
      <c r="BW196" s="392">
        <f>IF(ISBLANK(Actuals!BX106),-446.63*Escalation!$B$72,Actuals!BX106)</f>
        <v/>
      </c>
      <c r="BX196" s="392">
        <f>IF(ISBLANK(Actuals!BY106),-446.63*Escalation!$B$73,Actuals!BY106)</f>
        <v/>
      </c>
      <c r="BY196" s="392">
        <f>IF(ISBLANK(Actuals!BZ106),-446.63*Escalation!$B$74,Actuals!BZ106)</f>
        <v/>
      </c>
      <c r="BZ196" s="392">
        <f>IF(ISBLANK(Actuals!CA106),-446.63*Escalation!$B$75,Actuals!CA106)</f>
        <v/>
      </c>
      <c r="CA196" s="392">
        <f>IF(ISBLANK(Actuals!CB106),-446.63*Escalation!$B$76,Actuals!CB106)</f>
        <v/>
      </c>
      <c r="CB196" s="392">
        <f>IF(ISBLANK(Actuals!CC106),-446.63*Escalation!$B$77,Actuals!CC106)</f>
        <v/>
      </c>
      <c r="CC196" s="392">
        <f>IF(ISBLANK(Actuals!CD106),-446.63*Escalation!$B$78,Actuals!CD106)</f>
        <v/>
      </c>
      <c r="CD196" s="392">
        <f>IF(ISBLANK(Actuals!CE106),-446.63*Escalation!$B$79,Actuals!CE106)</f>
        <v/>
      </c>
      <c r="CE196" s="392">
        <f>IF(ISBLANK(Actuals!CF106),-446.63*Escalation!$B$80,Actuals!CF106)</f>
        <v/>
      </c>
      <c r="CF196" s="392">
        <f>IF(ISBLANK(Actuals!CG106),-446.63*Escalation!$B$81,Actuals!CG106)</f>
        <v/>
      </c>
      <c r="CG196" s="392">
        <f>IF(ISBLANK(Actuals!CH106),-446.63*Escalation!$B$82,Actuals!CH106)</f>
        <v/>
      </c>
      <c r="CH196" s="392">
        <f>IF(ISBLANK(Actuals!CI106),-446.63*Escalation!$B$83,Actuals!CI106)</f>
        <v/>
      </c>
      <c r="CI196" s="392">
        <f>IF(ISBLANK(Actuals!CJ106),-446.63*Escalation!$B$84,Actuals!CJ106)</f>
        <v/>
      </c>
      <c r="CJ196" s="392">
        <f>IF(ISBLANK(Actuals!CK106),-446.63*Escalation!$B$85,Actuals!CK106)</f>
        <v/>
      </c>
      <c r="CK196" s="392">
        <f>IF(ISBLANK(Actuals!CL106),-446.63*Escalation!$B$86,Actuals!CL106)</f>
        <v/>
      </c>
      <c r="CL196" s="392">
        <f>IF(ISBLANK(Actuals!CM106),-446.63*Escalation!$B$87,Actuals!CM106)</f>
        <v/>
      </c>
      <c r="CM196" s="392">
        <f>IF(ISBLANK(Actuals!CN106),-446.63*Escalation!$B$88,Actuals!CN106)</f>
        <v/>
      </c>
      <c r="CN196" s="392">
        <f>IF(ISBLANK(Actuals!CO106),-446.63*Escalation!$B$89,Actuals!CO106)</f>
        <v/>
      </c>
      <c r="CO196" s="392">
        <f>IF(ISBLANK(Actuals!CP106),-446.63*Escalation!$B$90,Actuals!CP106)</f>
        <v/>
      </c>
      <c r="CP196" s="392">
        <f>IF(ISBLANK(Actuals!CQ106),-446.63*Escalation!$B$91,Actuals!CQ106)</f>
        <v/>
      </c>
      <c r="CQ196" s="392">
        <f>IF(ISBLANK(Actuals!CR106),-446.63*Escalation!$B$92,Actuals!CR106)</f>
        <v/>
      </c>
      <c r="CR196" s="392">
        <f>IF(ISBLANK(Actuals!CS106),-446.63*Escalation!$B$93,Actuals!CS106)</f>
        <v/>
      </c>
      <c r="CS196" s="392">
        <f>IF(ISBLANK(Actuals!CT106),-446.63*Escalation!$B$94,Actuals!CT106)</f>
        <v/>
      </c>
      <c r="CT196" s="392">
        <f>IF(ISBLANK(Actuals!CU106),-446.63*Escalation!$B$95,Actuals!CU106)</f>
        <v/>
      </c>
      <c r="CU196" s="392">
        <f>IF(ISBLANK(Actuals!CV106),-446.63*Escalation!$B$96,Actuals!CV106)</f>
        <v/>
      </c>
      <c r="CV196" s="392">
        <f>IF(ISBLANK(Actuals!CW106),-446.63*Escalation!$B$97,Actuals!CW106)</f>
        <v/>
      </c>
      <c r="CW196" s="392">
        <f>IF(ISBLANK(Actuals!CX106),-446.63*Escalation!$B$98,Actuals!CX106)</f>
        <v/>
      </c>
      <c r="CX196" s="392">
        <f>IF(ISBLANK(Actuals!CY106),-446.63*Escalation!$B$99,Actuals!CY106)</f>
        <v/>
      </c>
      <c r="CY196" s="392">
        <f>IF(ISBLANK(Actuals!CZ106),-446.63*Escalation!$B$100,Actuals!CZ106)</f>
        <v/>
      </c>
      <c r="CZ196" s="392">
        <f>IF(ISBLANK(Actuals!DA106),-446.63*Escalation!$B$101,Actuals!DA106)</f>
        <v/>
      </c>
      <c r="DA196" s="392">
        <f>IF(ISBLANK(Actuals!DB106),-446.63*Escalation!$B$102,Actuals!DB106)</f>
        <v/>
      </c>
      <c r="DB196" s="392">
        <f>IF(ISBLANK(Actuals!DC106),-446.63*Escalation!$B$103,Actuals!DC106)</f>
        <v/>
      </c>
      <c r="DC196" s="392">
        <f>IF(ISBLANK(Actuals!DD106),-446.63*Escalation!$B$104,Actuals!DD106)</f>
        <v/>
      </c>
      <c r="DD196" s="392">
        <f>IF(ISBLANK(Actuals!DE106),-446.63*Escalation!$B$105,Actuals!DE106)</f>
        <v/>
      </c>
      <c r="DE196" s="392">
        <f>IF(ISBLANK(Actuals!DF106),-446.63*Escalation!$B$106,Actuals!DF106)</f>
        <v/>
      </c>
    </row>
    <row r="197" ht="15" customFormat="1" customHeight="1" s="380">
      <c r="A197" s="397" t="inlineStr">
        <is>
          <t>Steyn Group Guaranty Fee</t>
        </is>
      </c>
      <c r="B197" s="392">
        <f>IF(ISBLANK(Actuals!C107),0,Actuals!C107)</f>
        <v/>
      </c>
      <c r="C197" s="392">
        <f>IF(ISBLANK(Actuals!D107),0,Actuals!D107)</f>
        <v/>
      </c>
      <c r="D197" s="392">
        <f>IF(ISBLANK(Actuals!E107),0,Actuals!E107)</f>
        <v/>
      </c>
      <c r="E197" s="392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2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2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2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2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2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2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2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2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2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2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2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2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2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2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2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2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2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2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2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2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2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2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2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2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2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2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2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2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2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2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2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2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2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2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2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2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2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2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2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2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2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2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2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2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2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2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2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2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2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2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2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2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2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2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2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2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2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2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2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2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2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2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2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2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2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2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2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2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2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2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2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2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2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2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2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2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2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2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2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2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2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2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2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2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2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2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2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2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2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2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2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2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2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2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2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2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2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2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2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2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2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2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2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2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Format="1" customHeight="1" s="380">
      <c r="A198" s="397" t="inlineStr">
        <is>
          <t>Steyn Liquidity Guarantee Fee</t>
        </is>
      </c>
      <c r="B198" s="392">
        <f>IF(ISBLANK(Actuals!C108),0,Actuals!C108)</f>
        <v/>
      </c>
      <c r="C198" s="392">
        <f>IF(ISBLANK(Actuals!D108),0,Actuals!D108)</f>
        <v/>
      </c>
      <c r="D198" s="392">
        <f>IF(ISBLANK(Actuals!E108),0,Actuals!E108)</f>
        <v/>
      </c>
      <c r="E198" s="392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2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2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2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2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2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2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2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2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2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2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2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2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2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2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2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2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2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2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2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2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2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2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2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2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2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2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2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2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2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2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2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2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2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2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2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2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2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2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2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2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2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2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2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2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2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2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2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2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2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2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2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2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2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2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2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2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2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2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2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2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2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2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2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2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2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2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2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2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2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2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2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2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2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2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2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2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2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2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2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2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2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2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2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2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2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2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2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2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2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2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2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2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2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2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2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2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2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2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2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2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2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2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2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2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Format="1" customHeight="1" s="380">
      <c r="A199" s="397" t="inlineStr">
        <is>
          <t>Francis Steyn Fee + PIK (from LIHTC Revenue)</t>
        </is>
      </c>
      <c r="B199" s="392">
        <f>IF(ISBLANK(Actuals!C109),0,Actuals!C109)</f>
        <v/>
      </c>
      <c r="C199" s="392">
        <f>IF(ISBLANK(Actuals!D109),0,Actuals!D109)</f>
        <v/>
      </c>
      <c r="D199" s="392">
        <f>IF(ISBLANK(Actuals!E109),0,Actuals!E109)</f>
        <v/>
      </c>
      <c r="E199" s="392">
        <f>IF(ISBLANK(Actuals!F109),-Helpers!C20,Actuals!F109)</f>
        <v/>
      </c>
      <c r="F199" s="392">
        <f>IF(ISBLANK(Actuals!G109),-Helpers!D20,Actuals!G109)</f>
        <v/>
      </c>
      <c r="G199" s="392">
        <f>IF(ISBLANK(Actuals!H109),-Helpers!E20,Actuals!H109)</f>
        <v/>
      </c>
      <c r="H199" s="392">
        <f>IF(ISBLANK(Actuals!I109),-Helpers!F20,Actuals!I109)</f>
        <v/>
      </c>
      <c r="I199" s="392">
        <f>IF(ISBLANK(Actuals!J109),-Helpers!G20,Actuals!J109)</f>
        <v/>
      </c>
      <c r="J199" s="392">
        <f>IF(ISBLANK(Actuals!K109),-Helpers!H20,Actuals!K109)</f>
        <v/>
      </c>
      <c r="K199" s="392">
        <f>IF(ISBLANK(Actuals!L109),-Helpers!I20,Actuals!L109)</f>
        <v/>
      </c>
      <c r="L199" s="392">
        <f>IF(ISBLANK(Actuals!M109),-Helpers!J20,Actuals!M109)</f>
        <v/>
      </c>
      <c r="M199" s="392">
        <f>IF(ISBLANK(Actuals!N109),-Helpers!K20,Actuals!N109)</f>
        <v/>
      </c>
      <c r="N199" s="392">
        <f>IF(ISBLANK(Actuals!O109),-Helpers!L20,Actuals!O109)</f>
        <v/>
      </c>
      <c r="O199" s="392">
        <f>IF(ISBLANK(Actuals!P109),-Helpers!M20,Actuals!P109)</f>
        <v/>
      </c>
      <c r="P199" s="392">
        <f>IF(ISBLANK(Actuals!Q109),-Helpers!N20,Actuals!Q109)</f>
        <v/>
      </c>
      <c r="Q199" s="392">
        <f>IF(ISBLANK(Actuals!R109),-Helpers!O20,Actuals!R109)</f>
        <v/>
      </c>
      <c r="R199" s="392">
        <f>IF(ISBLANK(Actuals!S109),-Helpers!P20,Actuals!S109)</f>
        <v/>
      </c>
      <c r="S199" s="392">
        <f>IF(ISBLANK(Actuals!T109),-Helpers!Q20,Actuals!T109)</f>
        <v/>
      </c>
      <c r="T199" s="392">
        <f>IF(ISBLANK(Actuals!U109),-Helpers!R20,Actuals!U109)</f>
        <v/>
      </c>
      <c r="U199" s="392">
        <f>IF(ISBLANK(Actuals!V109),-Helpers!S20,Actuals!V109)</f>
        <v/>
      </c>
      <c r="V199" s="392">
        <f>IF(ISBLANK(Actuals!W109),-Helpers!T20,Actuals!W109)</f>
        <v/>
      </c>
      <c r="W199" s="392">
        <f>IF(ISBLANK(Actuals!X109),-Helpers!U20,Actuals!X109)</f>
        <v/>
      </c>
      <c r="X199" s="392">
        <f>IF(ISBLANK(Actuals!Y109),-Helpers!V20,Actuals!Y109)</f>
        <v/>
      </c>
      <c r="Y199" s="392">
        <f>IF(ISBLANK(Actuals!Z109),-Helpers!W20,Actuals!Z109)</f>
        <v/>
      </c>
      <c r="Z199" s="392">
        <f>IF(ISBLANK(Actuals!AA109),-Helpers!X20,Actuals!AA109)</f>
        <v/>
      </c>
      <c r="AA199" s="392">
        <f>IF(ISBLANK(Actuals!AB109),-Helpers!Y20,Actuals!AB109)</f>
        <v/>
      </c>
      <c r="AB199" s="392">
        <f>IF(ISBLANK(Actuals!AC109),-Helpers!Z20,Actuals!AC109)</f>
        <v/>
      </c>
      <c r="AC199" s="392">
        <f>IF(ISBLANK(Actuals!AD109),-Helpers!AA20,Actuals!AD109)</f>
        <v/>
      </c>
      <c r="AD199" s="392">
        <f>IF(ISBLANK(Actuals!AE109),-Helpers!AB20,Actuals!AE109)</f>
        <v/>
      </c>
      <c r="AE199" s="392">
        <f>IF(ISBLANK(Actuals!AF109),-Helpers!AC20,Actuals!AF109)</f>
        <v/>
      </c>
      <c r="AF199" s="392">
        <f>IF(ISBLANK(Actuals!AG109),-Helpers!AD20,Actuals!AG109)</f>
        <v/>
      </c>
      <c r="AG199" s="392">
        <f>IF(ISBLANK(Actuals!AH109),-Helpers!AE20,Actuals!AH109)</f>
        <v/>
      </c>
      <c r="AH199" s="392">
        <f>IF(ISBLANK(Actuals!AI109),-Helpers!AF20,Actuals!AI109)</f>
        <v/>
      </c>
      <c r="AI199" s="392">
        <f>IF(ISBLANK(Actuals!AJ109),-Helpers!AG20,Actuals!AJ109)</f>
        <v/>
      </c>
      <c r="AJ199" s="392">
        <f>IF(ISBLANK(Actuals!AK109),-Helpers!AH20,Actuals!AK109)</f>
        <v/>
      </c>
      <c r="AK199" s="392">
        <f>IF(ISBLANK(Actuals!AL109),-Helpers!AI20,Actuals!AL109)</f>
        <v/>
      </c>
      <c r="AL199" s="392">
        <f>IF(ISBLANK(Actuals!AM109),-Helpers!AJ20,Actuals!AM109)</f>
        <v/>
      </c>
      <c r="AM199" s="392">
        <f>IF(ISBLANK(Actuals!AN109),-Helpers!AK20,Actuals!AN109)</f>
        <v/>
      </c>
      <c r="AN199" s="392">
        <f>IF(ISBLANK(Actuals!AO109),-Helpers!AL20,Actuals!AO109)</f>
        <v/>
      </c>
      <c r="AO199" s="392">
        <f>IF(ISBLANK(Actuals!AP109),-Helpers!AM20,Actuals!AP109)</f>
        <v/>
      </c>
      <c r="AP199" s="392">
        <f>IF(ISBLANK(Actuals!AQ109),-Helpers!AN20,Actuals!AQ109)</f>
        <v/>
      </c>
      <c r="AQ199" s="392">
        <f>IF(ISBLANK(Actuals!AR109),-Helpers!AO20,Actuals!AR109)</f>
        <v/>
      </c>
      <c r="AR199" s="392">
        <f>IF(ISBLANK(Actuals!AS109),-Helpers!AP20,Actuals!AS109)</f>
        <v/>
      </c>
      <c r="AS199" s="392">
        <f>IF(ISBLANK(Actuals!AT109),-Helpers!AQ20,Actuals!AT109)</f>
        <v/>
      </c>
      <c r="AT199" s="392">
        <f>IF(ISBLANK(Actuals!AU109),-Helpers!AR20,Actuals!AU109)</f>
        <v/>
      </c>
      <c r="AU199" s="392">
        <f>IF(ISBLANK(Actuals!AV109),-Helpers!AS20,Actuals!AV109)</f>
        <v/>
      </c>
      <c r="AV199" s="392">
        <f>IF(ISBLANK(Actuals!AW109),-Helpers!AT20,Actuals!AW109)</f>
        <v/>
      </c>
      <c r="AW199" s="392">
        <f>IF(ISBLANK(Actuals!AX109),-Helpers!AU20,Actuals!AX109)</f>
        <v/>
      </c>
      <c r="AX199" s="392">
        <f>IF(ISBLANK(Actuals!AY109),-Helpers!AV20,Actuals!AY109)</f>
        <v/>
      </c>
      <c r="AY199" s="392">
        <f>IF(ISBLANK(Actuals!AZ109),-Helpers!AW20,Actuals!AZ109)</f>
        <v/>
      </c>
      <c r="AZ199" s="392">
        <f>IF(ISBLANK(Actuals!BA109),-Helpers!AX20,Actuals!BA109)</f>
        <v/>
      </c>
      <c r="BA199" s="392">
        <f>IF(ISBLANK(Actuals!BB109),-Helpers!AY20,Actuals!BB109)</f>
        <v/>
      </c>
      <c r="BB199" s="392">
        <f>IF(ISBLANK(Actuals!BC109),-Helpers!AZ20,Actuals!BC109)</f>
        <v/>
      </c>
      <c r="BC199" s="392">
        <f>IF(ISBLANK(Actuals!BD109),-Helpers!BA20,Actuals!BD109)</f>
        <v/>
      </c>
      <c r="BD199" s="392">
        <f>IF(ISBLANK(Actuals!BE109),-Helpers!BB20,Actuals!BE109)</f>
        <v/>
      </c>
      <c r="BE199" s="392">
        <f>IF(ISBLANK(Actuals!BF109),-Helpers!BC20,Actuals!BF109)</f>
        <v/>
      </c>
      <c r="BF199" s="392">
        <f>IF(ISBLANK(Actuals!BG109),-Helpers!BD20,Actuals!BG109)</f>
        <v/>
      </c>
      <c r="BG199" s="392">
        <f>IF(ISBLANK(Actuals!BH109),-Helpers!BE20,Actuals!BH109)</f>
        <v/>
      </c>
      <c r="BH199" s="392">
        <f>IF(ISBLANK(Actuals!BI109),-Helpers!BF20,Actuals!BI109)</f>
        <v/>
      </c>
      <c r="BI199" s="392">
        <f>IF(ISBLANK(Actuals!BJ109),-Helpers!BG20,Actuals!BJ109)</f>
        <v/>
      </c>
      <c r="BJ199" s="392">
        <f>IF(ISBLANK(Actuals!BK109),-Helpers!BH20,Actuals!BK109)</f>
        <v/>
      </c>
      <c r="BK199" s="392">
        <f>IF(ISBLANK(Actuals!BL109),-Helpers!BI20,Actuals!BL109)</f>
        <v/>
      </c>
      <c r="BL199" s="392">
        <f>IF(ISBLANK(Actuals!BM109),-Helpers!BJ20,Actuals!BM109)</f>
        <v/>
      </c>
      <c r="BM199" s="392">
        <f>IF(ISBLANK(Actuals!BN109),-Helpers!BK20,Actuals!BN109)</f>
        <v/>
      </c>
      <c r="BN199" s="392">
        <f>IF(ISBLANK(Actuals!BO109),-Helpers!BL20,Actuals!BO109)</f>
        <v/>
      </c>
      <c r="BO199" s="392">
        <f>IF(ISBLANK(Actuals!BP109),-Helpers!BM20,Actuals!BP109)</f>
        <v/>
      </c>
      <c r="BP199" s="392">
        <f>IF(ISBLANK(Actuals!BQ109),-Helpers!BN20,Actuals!BQ109)</f>
        <v/>
      </c>
      <c r="BQ199" s="392">
        <f>IF(ISBLANK(Actuals!BR109),-Helpers!BO20,Actuals!BR109)</f>
        <v/>
      </c>
      <c r="BR199" s="392">
        <f>IF(ISBLANK(Actuals!BS109),-Helpers!BP20,Actuals!BS109)</f>
        <v/>
      </c>
      <c r="BS199" s="392">
        <f>IF(ISBLANK(Actuals!BT109),-Helpers!BQ20,Actuals!BT109)</f>
        <v/>
      </c>
      <c r="BT199" s="392">
        <f>IF(ISBLANK(Actuals!BU109),-Helpers!BR20,Actuals!BU109)</f>
        <v/>
      </c>
      <c r="BU199" s="392">
        <f>IF(ISBLANK(Actuals!BV109),-Helpers!BS20,Actuals!BV109)</f>
        <v/>
      </c>
      <c r="BV199" s="392">
        <f>IF(ISBLANK(Actuals!BW109),-Helpers!BT20,Actuals!BW109)</f>
        <v/>
      </c>
      <c r="BW199" s="392">
        <f>IF(ISBLANK(Actuals!BX109),-Helpers!BU20,Actuals!BX109)</f>
        <v/>
      </c>
      <c r="BX199" s="392">
        <f>IF(ISBLANK(Actuals!BY109),-Helpers!BV20,Actuals!BY109)</f>
        <v/>
      </c>
      <c r="BY199" s="392">
        <f>IF(ISBLANK(Actuals!BZ109),-Helpers!BW20,Actuals!BZ109)</f>
        <v/>
      </c>
      <c r="BZ199" s="392">
        <f>IF(ISBLANK(Actuals!CA109),-Helpers!BX20,Actuals!CA109)</f>
        <v/>
      </c>
      <c r="CA199" s="392">
        <f>IF(ISBLANK(Actuals!CB109),-Helpers!BY20,Actuals!CB109)</f>
        <v/>
      </c>
      <c r="CB199" s="392">
        <f>IF(ISBLANK(Actuals!CC109),-Helpers!BZ20,Actuals!CC109)</f>
        <v/>
      </c>
      <c r="CC199" s="392">
        <f>IF(ISBLANK(Actuals!CD109),-Helpers!CA20,Actuals!CD109)</f>
        <v/>
      </c>
      <c r="CD199" s="392">
        <f>IF(ISBLANK(Actuals!CE109),-Helpers!CB20,Actuals!CE109)</f>
        <v/>
      </c>
      <c r="CE199" s="392">
        <f>IF(ISBLANK(Actuals!CF109),-Helpers!CC20,Actuals!CF109)</f>
        <v/>
      </c>
      <c r="CF199" s="392">
        <f>IF(ISBLANK(Actuals!CG109),-Helpers!CD20,Actuals!CG109)</f>
        <v/>
      </c>
      <c r="CG199" s="392">
        <f>IF(ISBLANK(Actuals!CH109),-Helpers!CE20,Actuals!CH109)</f>
        <v/>
      </c>
      <c r="CH199" s="392">
        <f>IF(ISBLANK(Actuals!CI109),-Helpers!CF20,Actuals!CI109)</f>
        <v/>
      </c>
      <c r="CI199" s="392">
        <f>IF(ISBLANK(Actuals!CJ109),-Helpers!CG20,Actuals!CJ109)</f>
        <v/>
      </c>
      <c r="CJ199" s="392">
        <f>IF(ISBLANK(Actuals!CK109),-Helpers!CH20,Actuals!CK109)</f>
        <v/>
      </c>
      <c r="CK199" s="392">
        <f>IF(ISBLANK(Actuals!CL109),-Helpers!CI20,Actuals!CL109)</f>
        <v/>
      </c>
      <c r="CL199" s="392">
        <f>IF(ISBLANK(Actuals!CM109),-Helpers!CJ20,Actuals!CM109)</f>
        <v/>
      </c>
      <c r="CM199" s="392">
        <f>IF(ISBLANK(Actuals!CN109),-Helpers!CK20,Actuals!CN109)</f>
        <v/>
      </c>
      <c r="CN199" s="392">
        <f>IF(ISBLANK(Actuals!CO109),-Helpers!CL20,Actuals!CO109)</f>
        <v/>
      </c>
      <c r="CO199" s="392">
        <f>IF(ISBLANK(Actuals!CP109),-Helpers!CM20,Actuals!CP109)</f>
        <v/>
      </c>
      <c r="CP199" s="392">
        <f>IF(ISBLANK(Actuals!CQ109),-Helpers!CN20,Actuals!CQ109)</f>
        <v/>
      </c>
      <c r="CQ199" s="392">
        <f>IF(ISBLANK(Actuals!CR109),-Helpers!CO20,Actuals!CR109)</f>
        <v/>
      </c>
      <c r="CR199" s="392">
        <f>IF(ISBLANK(Actuals!CS109),-Helpers!CP20,Actuals!CS109)</f>
        <v/>
      </c>
      <c r="CS199" s="392">
        <f>IF(ISBLANK(Actuals!CT109),-Helpers!CQ20,Actuals!CT109)</f>
        <v/>
      </c>
      <c r="CT199" s="392">
        <f>IF(ISBLANK(Actuals!CU109),-Helpers!CR20,Actuals!CU109)</f>
        <v/>
      </c>
      <c r="CU199" s="392">
        <f>IF(ISBLANK(Actuals!CV109),-Helpers!CS20,Actuals!CV109)</f>
        <v/>
      </c>
      <c r="CV199" s="392">
        <f>IF(ISBLANK(Actuals!CW109),-Helpers!CT20,Actuals!CW109)</f>
        <v/>
      </c>
      <c r="CW199" s="392">
        <f>IF(ISBLANK(Actuals!CX109),-Helpers!CU20,Actuals!CX109)</f>
        <v/>
      </c>
      <c r="CX199" s="392">
        <f>IF(ISBLANK(Actuals!CY109),-Helpers!CV20,Actuals!CY109)</f>
        <v/>
      </c>
      <c r="CY199" s="392">
        <f>IF(ISBLANK(Actuals!CZ109),-Helpers!CW20,Actuals!CZ109)</f>
        <v/>
      </c>
      <c r="CZ199" s="392">
        <f>IF(ISBLANK(Actuals!DA109),-Helpers!CX20,Actuals!DA109)</f>
        <v/>
      </c>
      <c r="DA199" s="392">
        <f>IF(ISBLANK(Actuals!DB109),-Helpers!CY20,Actuals!DB109)</f>
        <v/>
      </c>
      <c r="DB199" s="392">
        <f>IF(ISBLANK(Actuals!DC109),-Helpers!CZ20,Actuals!DC109)</f>
        <v/>
      </c>
      <c r="DC199" s="392">
        <f>IF(ISBLANK(Actuals!DD109),-Helpers!DA20,Actuals!DD109)</f>
        <v/>
      </c>
      <c r="DD199" s="392">
        <f>IF(ISBLANK(Actuals!DE109),-Helpers!DB20,Actuals!DE109)</f>
        <v/>
      </c>
      <c r="DE199" s="392">
        <f>IF(ISBLANK(Actuals!DF109),-Helpers!DC20,Actuals!DF109)</f>
        <v/>
      </c>
    </row>
    <row r="200" ht="15" customFormat="1" customHeight="1" s="380">
      <c r="A200" s="397" t="inlineStr">
        <is>
          <t>Reseda Steyn Fee + PIK (from LIHTC Revenue)</t>
        </is>
      </c>
      <c r="B200" s="392">
        <f>IF(ISBLANK(Actuals!C110),0,Actuals!C110)</f>
        <v/>
      </c>
      <c r="C200" s="392">
        <f>IF(ISBLANK(Actuals!D110),0,Actuals!D110)</f>
        <v/>
      </c>
      <c r="D200" s="392">
        <f>IF(ISBLANK(Actuals!E110),0,Actuals!E110)</f>
        <v/>
      </c>
      <c r="E200" s="392">
        <f>IF(ISBLANK(Actuals!F110),-Helpers!C23+E248,Actuals!F110)</f>
        <v/>
      </c>
      <c r="F200" s="392">
        <f>IF(ISBLANK(Actuals!G110),-Helpers!D23+F248,Actuals!G110)</f>
        <v/>
      </c>
      <c r="G200" s="392">
        <f>IF(ISBLANK(Actuals!H110),-Helpers!E23+G248,Actuals!H110)</f>
        <v/>
      </c>
      <c r="H200" s="392">
        <f>IF(ISBLANK(Actuals!I110),-Helpers!F23+H248,Actuals!I110)</f>
        <v/>
      </c>
      <c r="I200" s="392">
        <f>IF(ISBLANK(Actuals!J110),-Helpers!G23+I248,Actuals!J110)</f>
        <v/>
      </c>
      <c r="J200" s="392">
        <f>IF(ISBLANK(Actuals!K110),-Helpers!H23+J248,Actuals!K110)</f>
        <v/>
      </c>
      <c r="K200" s="392">
        <f>IF(ISBLANK(Actuals!L110),-Helpers!I23+K248,Actuals!L110)</f>
        <v/>
      </c>
      <c r="L200" s="392">
        <f>IF(ISBLANK(Actuals!M110),-Helpers!J23+L248,Actuals!M110)</f>
        <v/>
      </c>
      <c r="M200" s="392">
        <f>IF(ISBLANK(Actuals!N110),-Helpers!K23+M248,Actuals!N110)</f>
        <v/>
      </c>
      <c r="N200" s="392">
        <f>IF(ISBLANK(Actuals!O110),-Helpers!L23+N248,Actuals!O110)</f>
        <v/>
      </c>
      <c r="O200" s="392">
        <f>IF(ISBLANK(Actuals!P110),-Helpers!M23+O248,Actuals!P110)</f>
        <v/>
      </c>
      <c r="P200" s="392">
        <f>IF(ISBLANK(Actuals!Q110),-Helpers!N23+P248,Actuals!Q110)</f>
        <v/>
      </c>
      <c r="Q200" s="392">
        <f>IF(ISBLANK(Actuals!R110),-Helpers!O23+Q248,Actuals!R110)</f>
        <v/>
      </c>
      <c r="R200" s="392">
        <f>IF(ISBLANK(Actuals!S110),-Helpers!P23+R248,Actuals!S110)</f>
        <v/>
      </c>
      <c r="S200" s="392">
        <f>IF(ISBLANK(Actuals!T110),-Helpers!Q23+S248,Actuals!T110)</f>
        <v/>
      </c>
      <c r="T200" s="392">
        <f>IF(ISBLANK(Actuals!U110),-Helpers!R23+T248,Actuals!U110)</f>
        <v/>
      </c>
      <c r="U200" s="392">
        <f>IF(ISBLANK(Actuals!V110),-Helpers!S23+U248,Actuals!V110)</f>
        <v/>
      </c>
      <c r="V200" s="392">
        <f>IF(ISBLANK(Actuals!W110),-Helpers!T23+V248,Actuals!W110)</f>
        <v/>
      </c>
      <c r="W200" s="392">
        <f>IF(ISBLANK(Actuals!X110),-Helpers!U23+W248,Actuals!X110)</f>
        <v/>
      </c>
      <c r="X200" s="392">
        <f>IF(ISBLANK(Actuals!Y110),-Helpers!V23+X248,Actuals!Y110)</f>
        <v/>
      </c>
      <c r="Y200" s="392">
        <f>IF(ISBLANK(Actuals!Z110),-Helpers!W23+Y248,Actuals!Z110)</f>
        <v/>
      </c>
      <c r="Z200" s="392">
        <f>IF(ISBLANK(Actuals!AA110),-Helpers!X23+Z248,Actuals!AA110)</f>
        <v/>
      </c>
      <c r="AA200" s="392">
        <f>IF(ISBLANK(Actuals!AB110),-Helpers!Y23+AA248,Actuals!AB110)</f>
        <v/>
      </c>
      <c r="AB200" s="392">
        <f>IF(ISBLANK(Actuals!AC110),-Helpers!Z23+AB248,Actuals!AC110)</f>
        <v/>
      </c>
      <c r="AC200" s="392">
        <f>IF(ISBLANK(Actuals!AD110),-Helpers!AA23+AC248,Actuals!AD110)</f>
        <v/>
      </c>
      <c r="AD200" s="392">
        <f>IF(ISBLANK(Actuals!AE110),-Helpers!AB23+AD248,Actuals!AE110)</f>
        <v/>
      </c>
      <c r="AE200" s="392">
        <f>IF(ISBLANK(Actuals!AF110),-Helpers!AC23+AE248,Actuals!AF110)</f>
        <v/>
      </c>
      <c r="AF200" s="392">
        <f>IF(ISBLANK(Actuals!AG110),-Helpers!AD23+AF248,Actuals!AG110)</f>
        <v/>
      </c>
      <c r="AG200" s="392">
        <f>IF(ISBLANK(Actuals!AH110),-Helpers!AE23+AG248,Actuals!AH110)</f>
        <v/>
      </c>
      <c r="AH200" s="392">
        <f>IF(ISBLANK(Actuals!AI110),-Helpers!AF23+AH248,Actuals!AI110)</f>
        <v/>
      </c>
      <c r="AI200" s="392">
        <f>IF(ISBLANK(Actuals!AJ110),-Helpers!AG23+AI248,Actuals!AJ110)</f>
        <v/>
      </c>
      <c r="AJ200" s="392">
        <f>IF(ISBLANK(Actuals!AK110),-Helpers!AH23+AJ248,Actuals!AK110)</f>
        <v/>
      </c>
      <c r="AK200" s="392">
        <f>IF(ISBLANK(Actuals!AL110),-Helpers!AI23+AK248,Actuals!AL110)</f>
        <v/>
      </c>
      <c r="AL200" s="392">
        <f>IF(ISBLANK(Actuals!AM110),-Helpers!AJ23+AL248,Actuals!AM110)</f>
        <v/>
      </c>
      <c r="AM200" s="392">
        <f>IF(ISBLANK(Actuals!AN110),-Helpers!AK23+AM248,Actuals!AN110)</f>
        <v/>
      </c>
      <c r="AN200" s="392">
        <f>IF(ISBLANK(Actuals!AO110),-Helpers!AL23+AN248,Actuals!AO110)</f>
        <v/>
      </c>
      <c r="AO200" s="392">
        <f>IF(ISBLANK(Actuals!AP110),-Helpers!AM23+AO248,Actuals!AP110)</f>
        <v/>
      </c>
      <c r="AP200" s="392">
        <f>IF(ISBLANK(Actuals!AQ110),-Helpers!AN23+AP248,Actuals!AQ110)</f>
        <v/>
      </c>
      <c r="AQ200" s="392">
        <f>IF(ISBLANK(Actuals!AR110),-Helpers!AO23+AQ248,Actuals!AR110)</f>
        <v/>
      </c>
      <c r="AR200" s="392">
        <f>IF(ISBLANK(Actuals!AS110),-Helpers!AP23+AR248,Actuals!AS110)</f>
        <v/>
      </c>
      <c r="AS200" s="392">
        <f>IF(ISBLANK(Actuals!AT110),-Helpers!AQ23+AS248,Actuals!AT110)</f>
        <v/>
      </c>
      <c r="AT200" s="392">
        <f>IF(ISBLANK(Actuals!AU110),-Helpers!AR23+AT248,Actuals!AU110)</f>
        <v/>
      </c>
      <c r="AU200" s="392">
        <f>IF(ISBLANK(Actuals!AV110),-Helpers!AS23+AU248,Actuals!AV110)</f>
        <v/>
      </c>
      <c r="AV200" s="392">
        <f>IF(ISBLANK(Actuals!AW110),-Helpers!AT23+AV248,Actuals!AW110)</f>
        <v/>
      </c>
      <c r="AW200" s="392">
        <f>IF(ISBLANK(Actuals!AX110),-Helpers!AU23+AW248,Actuals!AX110)</f>
        <v/>
      </c>
      <c r="AX200" s="392">
        <f>IF(ISBLANK(Actuals!AY110),-Helpers!AV23+AX248,Actuals!AY110)</f>
        <v/>
      </c>
      <c r="AY200" s="392">
        <f>IF(ISBLANK(Actuals!AZ110),-Helpers!AW23+AY248,Actuals!AZ110)</f>
        <v/>
      </c>
      <c r="AZ200" s="392">
        <f>IF(ISBLANK(Actuals!BA110),-Helpers!AX23+AZ248,Actuals!BA110)</f>
        <v/>
      </c>
      <c r="BA200" s="392">
        <f>IF(ISBLANK(Actuals!BB110),-Helpers!AY23+BA248,Actuals!BB110)</f>
        <v/>
      </c>
      <c r="BB200" s="392">
        <f>IF(ISBLANK(Actuals!BC110),-Helpers!AZ23+BB248,Actuals!BC110)</f>
        <v/>
      </c>
      <c r="BC200" s="392">
        <f>IF(ISBLANK(Actuals!BD110),-Helpers!BA23+BC248,Actuals!BD110)</f>
        <v/>
      </c>
      <c r="BD200" s="392">
        <f>IF(ISBLANK(Actuals!BE110),-Helpers!BB23+BD248,Actuals!BE110)</f>
        <v/>
      </c>
      <c r="BE200" s="392">
        <f>IF(ISBLANK(Actuals!BF110),-Helpers!BC23+BE248,Actuals!BF110)</f>
        <v/>
      </c>
      <c r="BF200" s="392">
        <f>IF(ISBLANK(Actuals!BG110),-Helpers!BD23+BF248,Actuals!BG110)</f>
        <v/>
      </c>
      <c r="BG200" s="392">
        <f>IF(ISBLANK(Actuals!BH110),-Helpers!BE23+BG248,Actuals!BH110)</f>
        <v/>
      </c>
      <c r="BH200" s="392">
        <f>IF(ISBLANK(Actuals!BI110),-Helpers!BF23+BH248,Actuals!BI110)</f>
        <v/>
      </c>
      <c r="BI200" s="392">
        <f>IF(ISBLANK(Actuals!BJ110),-Helpers!BG23+BI248,Actuals!BJ110)</f>
        <v/>
      </c>
      <c r="BJ200" s="392">
        <f>IF(ISBLANK(Actuals!BK110),-Helpers!BH23+BJ248,Actuals!BK110)</f>
        <v/>
      </c>
      <c r="BK200" s="392">
        <f>IF(ISBLANK(Actuals!BL110),-Helpers!BI23+BK248,Actuals!BL110)</f>
        <v/>
      </c>
      <c r="BL200" s="392">
        <f>IF(ISBLANK(Actuals!BM110),-Helpers!BJ23+BL248,Actuals!BM110)</f>
        <v/>
      </c>
      <c r="BM200" s="392">
        <f>IF(ISBLANK(Actuals!BN110),-Helpers!BK23+BM248,Actuals!BN110)</f>
        <v/>
      </c>
      <c r="BN200" s="392">
        <f>IF(ISBLANK(Actuals!BO110),-Helpers!BL23+BN248,Actuals!BO110)</f>
        <v/>
      </c>
      <c r="BO200" s="392">
        <f>IF(ISBLANK(Actuals!BP110),-Helpers!BM23+BO248,Actuals!BP110)</f>
        <v/>
      </c>
      <c r="BP200" s="392">
        <f>IF(ISBLANK(Actuals!BQ110),-Helpers!BN23+BP248,Actuals!BQ110)</f>
        <v/>
      </c>
      <c r="BQ200" s="392">
        <f>IF(ISBLANK(Actuals!BR110),-Helpers!BO23+BQ248,Actuals!BR110)</f>
        <v/>
      </c>
      <c r="BR200" s="392">
        <f>IF(ISBLANK(Actuals!BS110),-Helpers!BP23+BR248,Actuals!BS110)</f>
        <v/>
      </c>
      <c r="BS200" s="392">
        <f>IF(ISBLANK(Actuals!BT110),-Helpers!BQ23+BS248,Actuals!BT110)</f>
        <v/>
      </c>
      <c r="BT200" s="392">
        <f>IF(ISBLANK(Actuals!BU110),-Helpers!BR23+BT248,Actuals!BU110)</f>
        <v/>
      </c>
      <c r="BU200" s="392">
        <f>IF(ISBLANK(Actuals!BV110),-Helpers!BS23+BU248,Actuals!BV110)</f>
        <v/>
      </c>
      <c r="BV200" s="392">
        <f>IF(ISBLANK(Actuals!BW110),-Helpers!BT23+BV248,Actuals!BW110)</f>
        <v/>
      </c>
      <c r="BW200" s="392">
        <f>IF(ISBLANK(Actuals!BX110),-Helpers!BU23+BW248,Actuals!BX110)</f>
        <v/>
      </c>
      <c r="BX200" s="392">
        <f>IF(ISBLANK(Actuals!BY110),-Helpers!BV23+BX248,Actuals!BY110)</f>
        <v/>
      </c>
      <c r="BY200" s="392">
        <f>IF(ISBLANK(Actuals!BZ110),-Helpers!BW23+BY248,Actuals!BZ110)</f>
        <v/>
      </c>
      <c r="BZ200" s="392">
        <f>IF(ISBLANK(Actuals!CA110),-Helpers!BX23+BZ248,Actuals!CA110)</f>
        <v/>
      </c>
      <c r="CA200" s="392">
        <f>IF(ISBLANK(Actuals!CB110),-Helpers!BY23+CA248,Actuals!CB110)</f>
        <v/>
      </c>
      <c r="CB200" s="392">
        <f>IF(ISBLANK(Actuals!CC110),-Helpers!BZ23+CB248,Actuals!CC110)</f>
        <v/>
      </c>
      <c r="CC200" s="392">
        <f>IF(ISBLANK(Actuals!CD110),-Helpers!CA23+CC248,Actuals!CD110)</f>
        <v/>
      </c>
      <c r="CD200" s="392">
        <f>IF(ISBLANK(Actuals!CE110),-Helpers!CB23+CD248,Actuals!CE110)</f>
        <v/>
      </c>
      <c r="CE200" s="392">
        <f>IF(ISBLANK(Actuals!CF110),-Helpers!CC23+CE248,Actuals!CF110)</f>
        <v/>
      </c>
      <c r="CF200" s="392">
        <f>IF(ISBLANK(Actuals!CG110),-Helpers!CD23+CF248,Actuals!CG110)</f>
        <v/>
      </c>
      <c r="CG200" s="392">
        <f>IF(ISBLANK(Actuals!CH110),-Helpers!CE23+CG248,Actuals!CH110)</f>
        <v/>
      </c>
      <c r="CH200" s="392">
        <f>IF(ISBLANK(Actuals!CI110),-Helpers!CF23+CH248,Actuals!CI110)</f>
        <v/>
      </c>
      <c r="CI200" s="392">
        <f>IF(ISBLANK(Actuals!CJ110),-Helpers!CG23+CI248,Actuals!CJ110)</f>
        <v/>
      </c>
      <c r="CJ200" s="392">
        <f>IF(ISBLANK(Actuals!CK110),-Helpers!CH23+CJ248,Actuals!CK110)</f>
        <v/>
      </c>
      <c r="CK200" s="392">
        <f>IF(ISBLANK(Actuals!CL110),-Helpers!CI23+CK248,Actuals!CL110)</f>
        <v/>
      </c>
      <c r="CL200" s="392">
        <f>IF(ISBLANK(Actuals!CM110),-Helpers!CJ23+CL248,Actuals!CM110)</f>
        <v/>
      </c>
      <c r="CM200" s="392">
        <f>IF(ISBLANK(Actuals!CN110),-Helpers!CK23+CM248,Actuals!CN110)</f>
        <v/>
      </c>
      <c r="CN200" s="392">
        <f>IF(ISBLANK(Actuals!CO110),-Helpers!CL23+CN248,Actuals!CO110)</f>
        <v/>
      </c>
      <c r="CO200" s="392">
        <f>IF(ISBLANK(Actuals!CP110),-Helpers!CM23+CO248,Actuals!CP110)</f>
        <v/>
      </c>
      <c r="CP200" s="392">
        <f>IF(ISBLANK(Actuals!CQ110),-Helpers!CN23+CP248,Actuals!CQ110)</f>
        <v/>
      </c>
      <c r="CQ200" s="392">
        <f>IF(ISBLANK(Actuals!CR110),-Helpers!CO23+CQ248,Actuals!CR110)</f>
        <v/>
      </c>
      <c r="CR200" s="392">
        <f>IF(ISBLANK(Actuals!CS110),-Helpers!CP23+CR248,Actuals!CS110)</f>
        <v/>
      </c>
      <c r="CS200" s="392">
        <f>IF(ISBLANK(Actuals!CT110),-Helpers!CQ23+CS248,Actuals!CT110)</f>
        <v/>
      </c>
      <c r="CT200" s="392">
        <f>IF(ISBLANK(Actuals!CU110),-Helpers!CR23+CT248,Actuals!CU110)</f>
        <v/>
      </c>
      <c r="CU200" s="392">
        <f>IF(ISBLANK(Actuals!CV110),-Helpers!CS23+CU248,Actuals!CV110)</f>
        <v/>
      </c>
      <c r="CV200" s="392">
        <f>IF(ISBLANK(Actuals!CW110),-Helpers!CT23+CV248,Actuals!CW110)</f>
        <v/>
      </c>
      <c r="CW200" s="392">
        <f>IF(ISBLANK(Actuals!CX110),-Helpers!CU23+CW248,Actuals!CX110)</f>
        <v/>
      </c>
      <c r="CX200" s="392">
        <f>IF(ISBLANK(Actuals!CY110),-Helpers!CV23+CX248,Actuals!CY110)</f>
        <v/>
      </c>
      <c r="CY200" s="392">
        <f>IF(ISBLANK(Actuals!CZ110),-Helpers!CW23+CY248,Actuals!CZ110)</f>
        <v/>
      </c>
      <c r="CZ200" s="392">
        <f>IF(ISBLANK(Actuals!DA110),-Helpers!CX23+CZ248,Actuals!DA110)</f>
        <v/>
      </c>
      <c r="DA200" s="392">
        <f>IF(ISBLANK(Actuals!DB110),-Helpers!CY23+DA248,Actuals!DB110)</f>
        <v/>
      </c>
      <c r="DB200" s="392">
        <f>IF(ISBLANK(Actuals!DC110),-Helpers!CZ23+DB248,Actuals!DC110)</f>
        <v/>
      </c>
      <c r="DC200" s="392">
        <f>IF(ISBLANK(Actuals!DD110),-Helpers!DA23+DC248,Actuals!DD110)</f>
        <v/>
      </c>
      <c r="DD200" s="392">
        <f>IF(ISBLANK(Actuals!DE110),-Helpers!DB23+DD248,Actuals!DE110)</f>
        <v/>
      </c>
      <c r="DE200" s="392">
        <f>IF(ISBLANK(Actuals!DF110),-Helpers!DC23+DE248,Actuals!DF110)</f>
        <v/>
      </c>
    </row>
    <row r="201" ht="15" customFormat="1" customHeight="1" s="380">
      <c r="A201" s="397" t="inlineStr">
        <is>
          <t>3rd St Steyn Fee + PIK (from LIHTC Revenue)</t>
        </is>
      </c>
      <c r="B201" s="392">
        <f>IF(ISBLANK(Actuals!C111),0,Actuals!C111)</f>
        <v/>
      </c>
      <c r="C201" s="392">
        <f>IF(ISBLANK(Actuals!D111),0,Actuals!D111)</f>
        <v/>
      </c>
      <c r="D201" s="392">
        <f>IF(ISBLANK(Actuals!E111),0,Actuals!E111)</f>
        <v/>
      </c>
      <c r="E201" s="392">
        <f>IF(ISBLANK(Actuals!F111),-Helpers!C26+E243,Actuals!F111)</f>
        <v/>
      </c>
      <c r="F201" s="392">
        <f>IF(ISBLANK(Actuals!G111),-Helpers!D26+F243,Actuals!G111)</f>
        <v/>
      </c>
      <c r="G201" s="392">
        <f>IF(ISBLANK(Actuals!H111),-Helpers!E26+G243,Actuals!H111)</f>
        <v/>
      </c>
      <c r="H201" s="392">
        <f>IF(ISBLANK(Actuals!I111),-Helpers!F26+H243,Actuals!I111)</f>
        <v/>
      </c>
      <c r="I201" s="392">
        <f>IF(ISBLANK(Actuals!J111),-Helpers!G26+I243,Actuals!J111)</f>
        <v/>
      </c>
      <c r="J201" s="392">
        <f>IF(ISBLANK(Actuals!K111),-Helpers!H26+J243,Actuals!K111)</f>
        <v/>
      </c>
      <c r="K201" s="392">
        <f>IF(ISBLANK(Actuals!L111),-Helpers!I26+K243,Actuals!L111)</f>
        <v/>
      </c>
      <c r="L201" s="392">
        <f>IF(ISBLANK(Actuals!M111),-Helpers!J26+L243,Actuals!M111)</f>
        <v/>
      </c>
      <c r="M201" s="392">
        <f>IF(ISBLANK(Actuals!N111),-Helpers!K26+M243,Actuals!N111)</f>
        <v/>
      </c>
      <c r="N201" s="392">
        <f>IF(ISBLANK(Actuals!O111),-Helpers!L26+N243,Actuals!O111)</f>
        <v/>
      </c>
      <c r="O201" s="392">
        <f>IF(ISBLANK(Actuals!P111),-Helpers!M26+O243,Actuals!P111)</f>
        <v/>
      </c>
      <c r="P201" s="392">
        <f>IF(ISBLANK(Actuals!Q111),-Helpers!N26+P243,Actuals!Q111)</f>
        <v/>
      </c>
      <c r="Q201" s="392">
        <f>IF(ISBLANK(Actuals!R111),-Helpers!O26+Q243,Actuals!R111)</f>
        <v/>
      </c>
      <c r="R201" s="392">
        <f>IF(ISBLANK(Actuals!S111),-Helpers!P26+R243,Actuals!S111)</f>
        <v/>
      </c>
      <c r="S201" s="392">
        <f>IF(ISBLANK(Actuals!T111),-Helpers!Q26+S243,Actuals!T111)</f>
        <v/>
      </c>
      <c r="T201" s="392">
        <f>IF(ISBLANK(Actuals!U111),-Helpers!R26+T243,Actuals!U111)</f>
        <v/>
      </c>
      <c r="U201" s="392">
        <f>IF(ISBLANK(Actuals!V111),-Helpers!S26+U243,Actuals!V111)</f>
        <v/>
      </c>
      <c r="V201" s="392">
        <f>IF(ISBLANK(Actuals!W111),-Helpers!T26+V243,Actuals!W111)</f>
        <v/>
      </c>
      <c r="W201" s="392">
        <f>IF(ISBLANK(Actuals!X111),-Helpers!U26+W243,Actuals!X111)</f>
        <v/>
      </c>
      <c r="X201" s="392">
        <f>IF(ISBLANK(Actuals!Y111),-Helpers!V26+X243,Actuals!Y111)</f>
        <v/>
      </c>
      <c r="Y201" s="392">
        <f>IF(ISBLANK(Actuals!Z111),-Helpers!W26+Y243,Actuals!Z111)</f>
        <v/>
      </c>
      <c r="Z201" s="392">
        <f>IF(ISBLANK(Actuals!AA111),-Helpers!X26+Z243,Actuals!AA111)</f>
        <v/>
      </c>
      <c r="AA201" s="392">
        <f>IF(ISBLANK(Actuals!AB111),-Helpers!Y26+AA243,Actuals!AB111)</f>
        <v/>
      </c>
      <c r="AB201" s="392">
        <f>IF(ISBLANK(Actuals!AC111),-Helpers!Z26+AB243,Actuals!AC111)</f>
        <v/>
      </c>
      <c r="AC201" s="392">
        <f>IF(ISBLANK(Actuals!AD111),-Helpers!AA26+AC243,Actuals!AD111)</f>
        <v/>
      </c>
      <c r="AD201" s="392">
        <f>IF(ISBLANK(Actuals!AE111),-Helpers!AB26+AD243,Actuals!AE111)</f>
        <v/>
      </c>
      <c r="AE201" s="392">
        <f>IF(ISBLANK(Actuals!AF111),-Helpers!AC26+AE243,Actuals!AF111)</f>
        <v/>
      </c>
      <c r="AF201" s="392">
        <f>IF(ISBLANK(Actuals!AG111),-Helpers!AD26+AF243,Actuals!AG111)</f>
        <v/>
      </c>
      <c r="AG201" s="392">
        <f>IF(ISBLANK(Actuals!AH111),-Helpers!AE26+AG243,Actuals!AH111)</f>
        <v/>
      </c>
      <c r="AH201" s="392">
        <f>IF(ISBLANK(Actuals!AI111),-Helpers!AF26+AH243,Actuals!AI111)</f>
        <v/>
      </c>
      <c r="AI201" s="392">
        <f>IF(ISBLANK(Actuals!AJ111),-Helpers!AG26+AI243,Actuals!AJ111)</f>
        <v/>
      </c>
      <c r="AJ201" s="392">
        <f>IF(ISBLANK(Actuals!AK111),-Helpers!AH26+AJ243,Actuals!AK111)</f>
        <v/>
      </c>
      <c r="AK201" s="392">
        <f>IF(ISBLANK(Actuals!AL111),-Helpers!AI26+AK243,Actuals!AL111)</f>
        <v/>
      </c>
      <c r="AL201" s="392">
        <f>IF(ISBLANK(Actuals!AM111),-Helpers!AJ26+AL243,Actuals!AM111)</f>
        <v/>
      </c>
      <c r="AM201" s="392">
        <f>IF(ISBLANK(Actuals!AN111),-Helpers!AK26+AM243,Actuals!AN111)</f>
        <v/>
      </c>
      <c r="AN201" s="392">
        <f>IF(ISBLANK(Actuals!AO111),-Helpers!AL26+AN243,Actuals!AO111)</f>
        <v/>
      </c>
      <c r="AO201" s="392">
        <f>IF(ISBLANK(Actuals!AP111),-Helpers!AM26+AO243,Actuals!AP111)</f>
        <v/>
      </c>
      <c r="AP201" s="392">
        <f>IF(ISBLANK(Actuals!AQ111),-Helpers!AN26+AP243,Actuals!AQ111)</f>
        <v/>
      </c>
      <c r="AQ201" s="392">
        <f>IF(ISBLANK(Actuals!AR111),-Helpers!AO26+AQ243,Actuals!AR111)</f>
        <v/>
      </c>
      <c r="AR201" s="392">
        <f>IF(ISBLANK(Actuals!AS111),-Helpers!AP26+AR243,Actuals!AS111)</f>
        <v/>
      </c>
      <c r="AS201" s="392">
        <f>IF(ISBLANK(Actuals!AT111),-Helpers!AQ26+AS243,Actuals!AT111)</f>
        <v/>
      </c>
      <c r="AT201" s="392">
        <f>IF(ISBLANK(Actuals!AU111),-Helpers!AR26+AT243,Actuals!AU111)</f>
        <v/>
      </c>
      <c r="AU201" s="392">
        <f>IF(ISBLANK(Actuals!AV111),-Helpers!AS26+AU243,Actuals!AV111)</f>
        <v/>
      </c>
      <c r="AV201" s="392">
        <f>IF(ISBLANK(Actuals!AW111),-Helpers!AT26+AV243,Actuals!AW111)</f>
        <v/>
      </c>
      <c r="AW201" s="392">
        <f>IF(ISBLANK(Actuals!AX111),-Helpers!AU26+AW243,Actuals!AX111)</f>
        <v/>
      </c>
      <c r="AX201" s="392">
        <f>IF(ISBLANK(Actuals!AY111),-Helpers!AV26+AX243,Actuals!AY111)</f>
        <v/>
      </c>
      <c r="AY201" s="392">
        <f>IF(ISBLANK(Actuals!AZ111),-Helpers!AW26+AY243,Actuals!AZ111)</f>
        <v/>
      </c>
      <c r="AZ201" s="392">
        <f>IF(ISBLANK(Actuals!BA111),-Helpers!AX26+AZ243,Actuals!BA111)</f>
        <v/>
      </c>
      <c r="BA201" s="392">
        <f>IF(ISBLANK(Actuals!BB111),-Helpers!AY26+BA243,Actuals!BB111)</f>
        <v/>
      </c>
      <c r="BB201" s="392">
        <f>IF(ISBLANK(Actuals!BC111),-Helpers!AZ26+BB243,Actuals!BC111)</f>
        <v/>
      </c>
      <c r="BC201" s="392">
        <f>IF(ISBLANK(Actuals!BD111),-Helpers!BA26+BC243,Actuals!BD111)</f>
        <v/>
      </c>
      <c r="BD201" s="392">
        <f>IF(ISBLANK(Actuals!BE111),-Helpers!BB26+BD243,Actuals!BE111)</f>
        <v/>
      </c>
      <c r="BE201" s="392">
        <f>IF(ISBLANK(Actuals!BF111),-Helpers!BC26+BE243,Actuals!BF111)</f>
        <v/>
      </c>
      <c r="BF201" s="392">
        <f>IF(ISBLANK(Actuals!BG111),-Helpers!BD26+BF243,Actuals!BG111)</f>
        <v/>
      </c>
      <c r="BG201" s="392">
        <f>IF(ISBLANK(Actuals!BH111),-Helpers!BE26+BG243,Actuals!BH111)</f>
        <v/>
      </c>
      <c r="BH201" s="392">
        <f>IF(ISBLANK(Actuals!BI111),-Helpers!BF26+BH243,Actuals!BI111)</f>
        <v/>
      </c>
      <c r="BI201" s="392">
        <f>IF(ISBLANK(Actuals!BJ111),-Helpers!BG26+BI243,Actuals!BJ111)</f>
        <v/>
      </c>
      <c r="BJ201" s="392">
        <f>IF(ISBLANK(Actuals!BK111),-Helpers!BH26+BJ243,Actuals!BK111)</f>
        <v/>
      </c>
      <c r="BK201" s="392">
        <f>IF(ISBLANK(Actuals!BL111),-Helpers!BI26+BK243,Actuals!BL111)</f>
        <v/>
      </c>
      <c r="BL201" s="392">
        <f>IF(ISBLANK(Actuals!BM111),-Helpers!BJ26+BL243,Actuals!BM111)</f>
        <v/>
      </c>
      <c r="BM201" s="392">
        <f>IF(ISBLANK(Actuals!BN111),-Helpers!BK26+BM243,Actuals!BN111)</f>
        <v/>
      </c>
      <c r="BN201" s="392">
        <f>IF(ISBLANK(Actuals!BO111),-Helpers!BL26+BN243,Actuals!BO111)</f>
        <v/>
      </c>
      <c r="BO201" s="392">
        <f>IF(ISBLANK(Actuals!BP111),-Helpers!BM26+BO243,Actuals!BP111)</f>
        <v/>
      </c>
      <c r="BP201" s="392">
        <f>IF(ISBLANK(Actuals!BQ111),-Helpers!BN26+BP243,Actuals!BQ111)</f>
        <v/>
      </c>
      <c r="BQ201" s="392">
        <f>IF(ISBLANK(Actuals!BR111),-Helpers!BO26+BQ243,Actuals!BR111)</f>
        <v/>
      </c>
      <c r="BR201" s="392">
        <f>IF(ISBLANK(Actuals!BS111),-Helpers!BP26+BR243,Actuals!BS111)</f>
        <v/>
      </c>
      <c r="BS201" s="392">
        <f>IF(ISBLANK(Actuals!BT111),-Helpers!BQ26+BS243,Actuals!BT111)</f>
        <v/>
      </c>
      <c r="BT201" s="392">
        <f>IF(ISBLANK(Actuals!BU111),-Helpers!BR26+BT243,Actuals!BU111)</f>
        <v/>
      </c>
      <c r="BU201" s="392">
        <f>IF(ISBLANK(Actuals!BV111),-Helpers!BS26+BU243,Actuals!BV111)</f>
        <v/>
      </c>
      <c r="BV201" s="392">
        <f>IF(ISBLANK(Actuals!BW111),-Helpers!BT26+BV243,Actuals!BW111)</f>
        <v/>
      </c>
      <c r="BW201" s="392">
        <f>IF(ISBLANK(Actuals!BX111),-Helpers!BU26+BW243,Actuals!BX111)</f>
        <v/>
      </c>
      <c r="BX201" s="392">
        <f>IF(ISBLANK(Actuals!BY111),-Helpers!BV26+BX243,Actuals!BY111)</f>
        <v/>
      </c>
      <c r="BY201" s="392">
        <f>IF(ISBLANK(Actuals!BZ111),-Helpers!BW26+BY243,Actuals!BZ111)</f>
        <v/>
      </c>
      <c r="BZ201" s="392">
        <f>IF(ISBLANK(Actuals!CA111),-Helpers!BX26+BZ243,Actuals!CA111)</f>
        <v/>
      </c>
      <c r="CA201" s="392">
        <f>IF(ISBLANK(Actuals!CB111),-Helpers!BY26+CA243,Actuals!CB111)</f>
        <v/>
      </c>
      <c r="CB201" s="392">
        <f>IF(ISBLANK(Actuals!CC111),-Helpers!BZ26+CB243,Actuals!CC111)</f>
        <v/>
      </c>
      <c r="CC201" s="392">
        <f>IF(ISBLANK(Actuals!CD111),-Helpers!CA26+CC243,Actuals!CD111)</f>
        <v/>
      </c>
      <c r="CD201" s="392">
        <f>IF(ISBLANK(Actuals!CE111),-Helpers!CB26+CD243,Actuals!CE111)</f>
        <v/>
      </c>
      <c r="CE201" s="392">
        <f>IF(ISBLANK(Actuals!CF111),-Helpers!CC26+CE243,Actuals!CF111)</f>
        <v/>
      </c>
      <c r="CF201" s="392">
        <f>IF(ISBLANK(Actuals!CG111),-Helpers!CD26+CF243,Actuals!CG111)</f>
        <v/>
      </c>
      <c r="CG201" s="392">
        <f>IF(ISBLANK(Actuals!CH111),-Helpers!CE26+CG243,Actuals!CH111)</f>
        <v/>
      </c>
      <c r="CH201" s="392">
        <f>IF(ISBLANK(Actuals!CI111),-Helpers!CF26+CH243,Actuals!CI111)</f>
        <v/>
      </c>
      <c r="CI201" s="392">
        <f>IF(ISBLANK(Actuals!CJ111),-Helpers!CG26+CI243,Actuals!CJ111)</f>
        <v/>
      </c>
      <c r="CJ201" s="392">
        <f>IF(ISBLANK(Actuals!CK111),-Helpers!CH26+CJ243,Actuals!CK111)</f>
        <v/>
      </c>
      <c r="CK201" s="392">
        <f>IF(ISBLANK(Actuals!CL111),-Helpers!CI26+CK243,Actuals!CL111)</f>
        <v/>
      </c>
      <c r="CL201" s="392">
        <f>IF(ISBLANK(Actuals!CM111),-Helpers!CJ26+CL243,Actuals!CM111)</f>
        <v/>
      </c>
      <c r="CM201" s="392">
        <f>IF(ISBLANK(Actuals!CN111),-Helpers!CK26+CM243,Actuals!CN111)</f>
        <v/>
      </c>
      <c r="CN201" s="392">
        <f>IF(ISBLANK(Actuals!CO111),-Helpers!CL26+CN243,Actuals!CO111)</f>
        <v/>
      </c>
      <c r="CO201" s="392">
        <f>IF(ISBLANK(Actuals!CP111),-Helpers!CM26+CO243,Actuals!CP111)</f>
        <v/>
      </c>
      <c r="CP201" s="392">
        <f>IF(ISBLANK(Actuals!CQ111),-Helpers!CN26+CP243,Actuals!CQ111)</f>
        <v/>
      </c>
      <c r="CQ201" s="392">
        <f>IF(ISBLANK(Actuals!CR111),-Helpers!CO26+CQ243,Actuals!CR111)</f>
        <v/>
      </c>
      <c r="CR201" s="392">
        <f>IF(ISBLANK(Actuals!CS111),-Helpers!CP26+CR243,Actuals!CS111)</f>
        <v/>
      </c>
      <c r="CS201" s="392">
        <f>IF(ISBLANK(Actuals!CT111),-Helpers!CQ26+CS243,Actuals!CT111)</f>
        <v/>
      </c>
      <c r="CT201" s="392">
        <f>IF(ISBLANK(Actuals!CU111),-Helpers!CR26+CT243,Actuals!CU111)</f>
        <v/>
      </c>
      <c r="CU201" s="392">
        <f>IF(ISBLANK(Actuals!CV111),-Helpers!CS26+CU243,Actuals!CV111)</f>
        <v/>
      </c>
      <c r="CV201" s="392">
        <f>IF(ISBLANK(Actuals!CW111),-Helpers!CT26+CV243,Actuals!CW111)</f>
        <v/>
      </c>
      <c r="CW201" s="392">
        <f>IF(ISBLANK(Actuals!CX111),-Helpers!CU26+CW243,Actuals!CX111)</f>
        <v/>
      </c>
      <c r="CX201" s="392">
        <f>IF(ISBLANK(Actuals!CY111),-Helpers!CV26+CX243,Actuals!CY111)</f>
        <v/>
      </c>
      <c r="CY201" s="392">
        <f>IF(ISBLANK(Actuals!CZ111),-Helpers!CW26+CY243,Actuals!CZ111)</f>
        <v/>
      </c>
      <c r="CZ201" s="392">
        <f>IF(ISBLANK(Actuals!DA111),-Helpers!CX26+CZ243,Actuals!DA111)</f>
        <v/>
      </c>
      <c r="DA201" s="392">
        <f>IF(ISBLANK(Actuals!DB111),-Helpers!CY26+DA243,Actuals!DB111)</f>
        <v/>
      </c>
      <c r="DB201" s="392">
        <f>IF(ISBLANK(Actuals!DC111),-Helpers!CZ26+DB243,Actuals!DC111)</f>
        <v/>
      </c>
      <c r="DC201" s="392">
        <f>IF(ISBLANK(Actuals!DD111),-Helpers!DA26+DC243,Actuals!DD111)</f>
        <v/>
      </c>
      <c r="DD201" s="392">
        <f>IF(ISBLANK(Actuals!DE111),-Helpers!DB26+DD243,Actuals!DE111)</f>
        <v/>
      </c>
      <c r="DE201" s="392">
        <f>IF(ISBLANK(Actuals!DF111),-Helpers!DC26+DE243,Actuals!DF111)</f>
        <v/>
      </c>
    </row>
    <row r="202" ht="19.5" customFormat="1" customHeight="1" s="380">
      <c r="A202" s="408" t="inlineStr">
        <is>
          <t>Total Six Peak Expenses</t>
        </is>
      </c>
      <c r="B202" s="409">
        <f>SUM(B173:B201)+Actuals!C113</f>
        <v/>
      </c>
      <c r="C202" s="409">
        <f>SUM(C173:C201)+Actuals!D113</f>
        <v/>
      </c>
      <c r="D202" s="409">
        <f>SUM(D173:D201)+Actuals!E113</f>
        <v/>
      </c>
      <c r="E202" s="409">
        <f>SUM(E173:E201)+Actuals!F113</f>
        <v/>
      </c>
      <c r="F202" s="409">
        <f>SUM(F173:F201)+Actuals!G113</f>
        <v/>
      </c>
      <c r="G202" s="409">
        <f>SUM(G173:G201)+Actuals!H113</f>
        <v/>
      </c>
      <c r="H202" s="409">
        <f>SUM(H173:H201)+Actuals!I113</f>
        <v/>
      </c>
      <c r="I202" s="409">
        <f>SUM(I173:I201)+Actuals!J113</f>
        <v/>
      </c>
      <c r="J202" s="409">
        <f>SUM(J173:J201)+Actuals!K113</f>
        <v/>
      </c>
      <c r="K202" s="409">
        <f>SUM(K173:K201)+Actuals!L113</f>
        <v/>
      </c>
      <c r="L202" s="409">
        <f>SUM(L173:L201)+Actuals!M113</f>
        <v/>
      </c>
      <c r="M202" s="409">
        <f>SUM(M173:M201)+Actuals!N113</f>
        <v/>
      </c>
      <c r="N202" s="409">
        <f>SUM(N173:N201)+Actuals!O113</f>
        <v/>
      </c>
      <c r="O202" s="409">
        <f>SUM(O173:O201)+Actuals!P113</f>
        <v/>
      </c>
      <c r="P202" s="409">
        <f>SUM(P173:P201)+Actuals!Q113</f>
        <v/>
      </c>
      <c r="Q202" s="409">
        <f>SUM(Q173:Q201)+Actuals!R113</f>
        <v/>
      </c>
      <c r="R202" s="409">
        <f>SUM(R173:R201)+Actuals!S113</f>
        <v/>
      </c>
      <c r="S202" s="409">
        <f>SUM(S173:S201)+Actuals!T113</f>
        <v/>
      </c>
      <c r="T202" s="409">
        <f>SUM(T173:T201)+Actuals!U113</f>
        <v/>
      </c>
      <c r="U202" s="409">
        <f>SUM(U173:U201)+Actuals!V113</f>
        <v/>
      </c>
      <c r="V202" s="409">
        <f>SUM(V173:V201)+Actuals!W113</f>
        <v/>
      </c>
      <c r="W202" s="409">
        <f>SUM(W173:W201)+Actuals!X113</f>
        <v/>
      </c>
      <c r="X202" s="409">
        <f>SUM(X173:X201)+Actuals!Y113</f>
        <v/>
      </c>
      <c r="Y202" s="409">
        <f>SUM(Y173:Y201)+Actuals!Z113</f>
        <v/>
      </c>
      <c r="Z202" s="409">
        <f>SUM(Z173:Z201)+Actuals!AA113</f>
        <v/>
      </c>
      <c r="AA202" s="409">
        <f>SUM(AA173:AA201)+Actuals!AB113</f>
        <v/>
      </c>
      <c r="AB202" s="409">
        <f>SUM(AB173:AB201)+Actuals!AC113</f>
        <v/>
      </c>
      <c r="AC202" s="409">
        <f>SUM(AC173:AC201)+Actuals!AD113</f>
        <v/>
      </c>
      <c r="AD202" s="409">
        <f>SUM(AD173:AD201)+Actuals!AE113</f>
        <v/>
      </c>
      <c r="AE202" s="409">
        <f>SUM(AE173:AE201)+Actuals!AF113</f>
        <v/>
      </c>
      <c r="AF202" s="409">
        <f>SUM(AF173:AF201)+Actuals!AG113</f>
        <v/>
      </c>
      <c r="AG202" s="409">
        <f>SUM(AG173:AG201)+Actuals!AH113</f>
        <v/>
      </c>
      <c r="AH202" s="409">
        <f>SUM(AH173:AH201)+Actuals!AI113</f>
        <v/>
      </c>
      <c r="AI202" s="409">
        <f>SUM(AI173:AI201)+Actuals!AJ113</f>
        <v/>
      </c>
      <c r="AJ202" s="409">
        <f>SUM(AJ173:AJ201)+Actuals!AK113</f>
        <v/>
      </c>
      <c r="AK202" s="409">
        <f>SUM(AK173:AK201)+Actuals!AL113</f>
        <v/>
      </c>
      <c r="AL202" s="409">
        <f>SUM(AL173:AL201)+Actuals!AM113</f>
        <v/>
      </c>
      <c r="AM202" s="409">
        <f>SUM(AM173:AM201)+Actuals!AN113</f>
        <v/>
      </c>
      <c r="AN202" s="409">
        <f>SUM(AN173:AN201)+Actuals!AO113</f>
        <v/>
      </c>
      <c r="AO202" s="409">
        <f>SUM(AO173:AO201)+Actuals!AP113</f>
        <v/>
      </c>
      <c r="AP202" s="409">
        <f>SUM(AP173:AP201)+Actuals!AQ113</f>
        <v/>
      </c>
      <c r="AQ202" s="409">
        <f>SUM(AQ173:AQ201)+Actuals!AR113</f>
        <v/>
      </c>
      <c r="AR202" s="409">
        <f>SUM(AR173:AR201)+Actuals!AS113</f>
        <v/>
      </c>
      <c r="AS202" s="409">
        <f>SUM(AS173:AS201)+Actuals!AT113</f>
        <v/>
      </c>
      <c r="AT202" s="409">
        <f>SUM(AT173:AT201)+Actuals!AU113</f>
        <v/>
      </c>
      <c r="AU202" s="409">
        <f>SUM(AU173:AU201)+Actuals!AV113</f>
        <v/>
      </c>
      <c r="AV202" s="409">
        <f>SUM(AV173:AV201)+Actuals!AW113</f>
        <v/>
      </c>
      <c r="AW202" s="409">
        <f>SUM(AW173:AW201)+Actuals!AX113</f>
        <v/>
      </c>
      <c r="AX202" s="409">
        <f>SUM(AX173:AX201)+Actuals!AY113</f>
        <v/>
      </c>
      <c r="AY202" s="409">
        <f>SUM(AY173:AY201)+Actuals!AZ113</f>
        <v/>
      </c>
      <c r="AZ202" s="409">
        <f>SUM(AZ173:AZ201)+Actuals!BA113</f>
        <v/>
      </c>
      <c r="BA202" s="409">
        <f>SUM(BA173:BA201)+Actuals!BB113</f>
        <v/>
      </c>
      <c r="BB202" s="409">
        <f>SUM(BB173:BB201)+Actuals!BC113</f>
        <v/>
      </c>
      <c r="BC202" s="409">
        <f>SUM(BC173:BC201)+Actuals!BD113</f>
        <v/>
      </c>
      <c r="BD202" s="409">
        <f>SUM(BD173:BD201)+Actuals!BE113</f>
        <v/>
      </c>
      <c r="BE202" s="409">
        <f>SUM(BE173:BE201)+Actuals!BF113</f>
        <v/>
      </c>
      <c r="BF202" s="409">
        <f>SUM(BF173:BF201)+Actuals!BG113</f>
        <v/>
      </c>
      <c r="BG202" s="409">
        <f>SUM(BG173:BG201)+Actuals!BH113</f>
        <v/>
      </c>
      <c r="BH202" s="409">
        <f>SUM(BH173:BH201)+Actuals!BI113</f>
        <v/>
      </c>
      <c r="BI202" s="409">
        <f>SUM(BI173:BI201)+Actuals!BJ113</f>
        <v/>
      </c>
      <c r="BJ202" s="409">
        <f>SUM(BJ173:BJ201)+Actuals!BK113</f>
        <v/>
      </c>
      <c r="BK202" s="409">
        <f>SUM(BK173:BK201)+Actuals!BL113</f>
        <v/>
      </c>
      <c r="BL202" s="409">
        <f>SUM(BL173:BL201)+Actuals!BM113</f>
        <v/>
      </c>
      <c r="BM202" s="409">
        <f>SUM(BM173:BM201)+Actuals!BN113</f>
        <v/>
      </c>
      <c r="BN202" s="409">
        <f>SUM(BN173:BN201)+Actuals!BO113</f>
        <v/>
      </c>
      <c r="BO202" s="409">
        <f>SUM(BO173:BO201)+Actuals!BP113</f>
        <v/>
      </c>
      <c r="BP202" s="409">
        <f>SUM(BP173:BP201)+Actuals!BQ113</f>
        <v/>
      </c>
      <c r="BQ202" s="409">
        <f>SUM(BQ173:BQ201)+Actuals!BR113</f>
        <v/>
      </c>
      <c r="BR202" s="409">
        <f>SUM(BR173:BR201)+Actuals!BS113</f>
        <v/>
      </c>
      <c r="BS202" s="409">
        <f>SUM(BS173:BS201)+Actuals!BT113</f>
        <v/>
      </c>
      <c r="BT202" s="409">
        <f>SUM(BT173:BT201)+Actuals!BU113</f>
        <v/>
      </c>
      <c r="BU202" s="409">
        <f>SUM(BU173:BU201)+Actuals!BV113</f>
        <v/>
      </c>
      <c r="BV202" s="409">
        <f>SUM(BV173:BV201)+Actuals!BW113</f>
        <v/>
      </c>
      <c r="BW202" s="409">
        <f>SUM(BW173:BW201)+Actuals!BX113</f>
        <v/>
      </c>
      <c r="BX202" s="409">
        <f>SUM(BX173:BX201)+Actuals!BY113</f>
        <v/>
      </c>
      <c r="BY202" s="409">
        <f>SUM(BY173:BY201)+Actuals!BZ113</f>
        <v/>
      </c>
      <c r="BZ202" s="409">
        <f>SUM(BZ173:BZ201)+Actuals!CA113</f>
        <v/>
      </c>
      <c r="CA202" s="409">
        <f>SUM(CA173:CA201)+Actuals!CB113</f>
        <v/>
      </c>
      <c r="CB202" s="409">
        <f>SUM(CB173:CB201)+Actuals!CC113</f>
        <v/>
      </c>
      <c r="CC202" s="409">
        <f>SUM(CC173:CC201)+Actuals!CD113</f>
        <v/>
      </c>
      <c r="CD202" s="409">
        <f>SUM(CD173:CD201)+Actuals!CE113</f>
        <v/>
      </c>
      <c r="CE202" s="409">
        <f>SUM(CE173:CE201)+Actuals!CF113</f>
        <v/>
      </c>
      <c r="CF202" s="409">
        <f>SUM(CF173:CF201)+Actuals!CG113</f>
        <v/>
      </c>
      <c r="CG202" s="409">
        <f>SUM(CG173:CG201)+Actuals!CH113</f>
        <v/>
      </c>
      <c r="CH202" s="409">
        <f>SUM(CH173:CH201)+Actuals!CI113</f>
        <v/>
      </c>
      <c r="CI202" s="409">
        <f>SUM(CI173:CI201)+Actuals!CJ113</f>
        <v/>
      </c>
      <c r="CJ202" s="409">
        <f>SUM(CJ173:CJ201)+Actuals!CK113</f>
        <v/>
      </c>
      <c r="CK202" s="409">
        <f>SUM(CK173:CK201)+Actuals!CL113</f>
        <v/>
      </c>
      <c r="CL202" s="409">
        <f>SUM(CL173:CL201)+Actuals!CM113</f>
        <v/>
      </c>
      <c r="CM202" s="409">
        <f>SUM(CM173:CM201)+Actuals!CN113</f>
        <v/>
      </c>
      <c r="CN202" s="409">
        <f>SUM(CN173:CN201)+Actuals!CO113</f>
        <v/>
      </c>
      <c r="CO202" s="409">
        <f>SUM(CO173:CO201)+Actuals!CP113</f>
        <v/>
      </c>
      <c r="CP202" s="409">
        <f>SUM(CP173:CP201)+Actuals!CQ113</f>
        <v/>
      </c>
      <c r="CQ202" s="409">
        <f>SUM(CQ173:CQ201)+Actuals!CR113</f>
        <v/>
      </c>
      <c r="CR202" s="409">
        <f>SUM(CR173:CR201)+Actuals!CS113</f>
        <v/>
      </c>
      <c r="CS202" s="409">
        <f>SUM(CS173:CS201)+Actuals!CT113</f>
        <v/>
      </c>
      <c r="CT202" s="409">
        <f>SUM(CT173:CT201)+Actuals!CU113</f>
        <v/>
      </c>
      <c r="CU202" s="409">
        <f>SUM(CU173:CU201)+Actuals!CV113</f>
        <v/>
      </c>
      <c r="CV202" s="409">
        <f>SUM(CV173:CV201)+Actuals!CW113</f>
        <v/>
      </c>
      <c r="CW202" s="409">
        <f>SUM(CW173:CW201)+Actuals!CX113</f>
        <v/>
      </c>
      <c r="CX202" s="409">
        <f>SUM(CX173:CX201)+Actuals!CY113</f>
        <v/>
      </c>
      <c r="CY202" s="409">
        <f>SUM(CY173:CY201)+Actuals!CZ113</f>
        <v/>
      </c>
      <c r="CZ202" s="409">
        <f>SUM(CZ173:CZ201)+Actuals!DA113</f>
        <v/>
      </c>
      <c r="DA202" s="409">
        <f>SUM(DA173:DA201)+Actuals!DB113</f>
        <v/>
      </c>
      <c r="DB202" s="409">
        <f>SUM(DB173:DB201)+Actuals!DC113</f>
        <v/>
      </c>
      <c r="DC202" s="409">
        <f>SUM(DC173:DC201)+Actuals!DD113</f>
        <v/>
      </c>
      <c r="DD202" s="409">
        <f>SUM(DD173:DD201)+Actuals!DE113</f>
        <v/>
      </c>
      <c r="DE202" s="409">
        <f>SUM(DE173:DE201)+Actuals!DF113</f>
        <v/>
      </c>
    </row>
    <row r="203" ht="19.5" customFormat="1" customHeight="1" s="380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Format="1" customHeight="1" s="380">
      <c r="A204" s="406" t="n"/>
      <c r="B204" s="392" t="n"/>
      <c r="C204" s="392" t="n"/>
      <c r="D204" s="392" t="n"/>
      <c r="E204" s="392" t="n"/>
      <c r="F204" s="392" t="n"/>
      <c r="G204" s="392" t="n"/>
      <c r="H204" s="392" t="n"/>
      <c r="I204" s="392" t="n"/>
      <c r="J204" s="392" t="n"/>
      <c r="K204" s="392" t="n"/>
      <c r="L204" s="392" t="n"/>
      <c r="M204" s="392" t="n"/>
      <c r="N204" s="392" t="n"/>
      <c r="O204" s="392" t="n"/>
      <c r="P204" s="392" t="n"/>
      <c r="Q204" s="392" t="n"/>
      <c r="R204" s="392" t="n"/>
      <c r="S204" s="392" t="n"/>
      <c r="T204" s="392" t="n"/>
      <c r="U204" s="392" t="n"/>
      <c r="V204" s="392" t="n"/>
      <c r="W204" s="392" t="n"/>
      <c r="X204" s="392" t="n"/>
      <c r="Y204" s="392" t="n"/>
      <c r="Z204" s="392" t="n"/>
      <c r="AA204" s="392" t="n"/>
      <c r="AB204" s="392" t="n"/>
      <c r="AC204" s="392" t="n"/>
      <c r="AD204" s="392" t="n"/>
      <c r="AE204" s="392" t="n"/>
      <c r="AF204" s="392" t="n"/>
      <c r="AG204" s="392" t="n"/>
      <c r="AH204" s="392" t="n"/>
      <c r="AI204" s="392" t="n"/>
      <c r="AJ204" s="392" t="n"/>
      <c r="AK204" s="392" t="n"/>
      <c r="AL204" s="392" t="n"/>
      <c r="AM204" s="392" t="n"/>
      <c r="AN204" s="392" t="n"/>
      <c r="AO204" s="392" t="n"/>
      <c r="AP204" s="392" t="n"/>
      <c r="AQ204" s="392" t="n"/>
      <c r="AR204" s="392" t="n"/>
      <c r="AS204" s="392" t="n"/>
      <c r="AT204" s="392" t="n"/>
      <c r="AU204" s="392" t="n"/>
      <c r="AV204" s="392" t="n"/>
      <c r="AW204" s="392" t="n"/>
      <c r="AX204" s="392" t="n"/>
      <c r="AY204" s="392" t="n"/>
      <c r="AZ204" s="392" t="n"/>
      <c r="BA204" s="392" t="n"/>
      <c r="BB204" s="392" t="n"/>
      <c r="BC204" s="392" t="n"/>
      <c r="BD204" s="392" t="n"/>
      <c r="BE204" s="392" t="n"/>
      <c r="BF204" s="392" t="n"/>
      <c r="BG204" s="392" t="n"/>
      <c r="BH204" s="392" t="n"/>
      <c r="BI204" s="392" t="n"/>
      <c r="BJ204" s="392" t="n"/>
      <c r="BK204" s="392" t="n"/>
      <c r="BL204" s="392" t="n"/>
      <c r="BM204" s="392" t="n"/>
      <c r="BN204" s="392" t="n"/>
      <c r="BO204" s="392" t="n"/>
      <c r="BP204" s="392" t="n"/>
      <c r="BQ204" s="392" t="n"/>
      <c r="BR204" s="392" t="n"/>
      <c r="BS204" s="392" t="n"/>
      <c r="BT204" s="392" t="n"/>
      <c r="BU204" s="392" t="n"/>
      <c r="BV204" s="392" t="n"/>
      <c r="BW204" s="392" t="n"/>
      <c r="BX204" s="392" t="n"/>
      <c r="BY204" s="392" t="n"/>
      <c r="BZ204" s="392" t="n"/>
      <c r="CA204" s="392" t="n"/>
      <c r="CB204" s="392" t="n"/>
      <c r="CC204" s="392" t="n"/>
      <c r="CD204" s="392" t="n"/>
      <c r="CE204" s="392" t="n"/>
      <c r="CF204" s="392" t="n"/>
      <c r="CG204" s="392" t="n"/>
      <c r="CH204" s="392" t="n"/>
      <c r="CI204" s="392" t="n"/>
      <c r="CJ204" s="392" t="n"/>
      <c r="CK204" s="392" t="n"/>
      <c r="CL204" s="392" t="n"/>
      <c r="CM204" s="392" t="n"/>
      <c r="CN204" s="392" t="n"/>
      <c r="CO204" s="392" t="n"/>
      <c r="CP204" s="392" t="n"/>
      <c r="CQ204" s="392" t="n"/>
      <c r="CR204" s="392" t="n"/>
      <c r="CS204" s="392" t="n"/>
      <c r="CT204" s="392" t="n"/>
      <c r="CU204" s="392" t="n"/>
      <c r="CV204" s="392" t="n"/>
      <c r="CW204" s="392" t="n"/>
      <c r="CX204" s="392" t="n"/>
      <c r="CY204" s="392" t="n"/>
      <c r="CZ204" s="392" t="n"/>
      <c r="DA204" s="392" t="n"/>
      <c r="DB204" s="392" t="n"/>
      <c r="DC204" s="392" t="n"/>
      <c r="DD204" s="392" t="n"/>
      <c r="DE204" s="392" t="n"/>
    </row>
    <row r="205" ht="15" customFormat="1" customHeight="1" s="380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Format="1" customHeight="1" s="380">
      <c r="A206" s="420" t="inlineStr">
        <is>
          <t>GC Gross Profit</t>
        </is>
      </c>
      <c r="B206" s="392">
        <f>B109</f>
        <v/>
      </c>
      <c r="C206" s="392">
        <f>C109</f>
        <v/>
      </c>
      <c r="D206" s="392">
        <f>D109</f>
        <v/>
      </c>
      <c r="E206" s="392">
        <f>E109</f>
        <v/>
      </c>
      <c r="F206" s="392">
        <f>F109</f>
        <v/>
      </c>
      <c r="G206" s="392">
        <f>G109</f>
        <v/>
      </c>
      <c r="H206" s="392">
        <f>H109</f>
        <v/>
      </c>
      <c r="I206" s="392">
        <f>I109</f>
        <v/>
      </c>
      <c r="J206" s="392">
        <f>J109</f>
        <v/>
      </c>
      <c r="K206" s="392">
        <f>K109</f>
        <v/>
      </c>
      <c r="L206" s="392">
        <f>L109</f>
        <v/>
      </c>
      <c r="M206" s="392">
        <f>M109</f>
        <v/>
      </c>
      <c r="N206" s="392">
        <f>N109</f>
        <v/>
      </c>
      <c r="O206" s="392">
        <f>O109</f>
        <v/>
      </c>
      <c r="P206" s="392">
        <f>P109</f>
        <v/>
      </c>
      <c r="Q206" s="392">
        <f>Q109</f>
        <v/>
      </c>
      <c r="R206" s="392">
        <f>R109</f>
        <v/>
      </c>
      <c r="S206" s="392">
        <f>S109</f>
        <v/>
      </c>
      <c r="T206" s="392">
        <f>T109</f>
        <v/>
      </c>
      <c r="U206" s="392">
        <f>U109</f>
        <v/>
      </c>
      <c r="V206" s="392">
        <f>V109</f>
        <v/>
      </c>
      <c r="W206" s="392">
        <f>W109</f>
        <v/>
      </c>
      <c r="X206" s="392">
        <f>X109</f>
        <v/>
      </c>
      <c r="Y206" s="392">
        <f>Y109</f>
        <v/>
      </c>
      <c r="Z206" s="392">
        <f>Z109</f>
        <v/>
      </c>
      <c r="AA206" s="392">
        <f>AA109</f>
        <v/>
      </c>
      <c r="AB206" s="392">
        <f>AB109</f>
        <v/>
      </c>
      <c r="AC206" s="392">
        <f>AC109</f>
        <v/>
      </c>
      <c r="AD206" s="392">
        <f>AD109</f>
        <v/>
      </c>
      <c r="AE206" s="392">
        <f>AE109</f>
        <v/>
      </c>
      <c r="AF206" s="392">
        <f>AF109</f>
        <v/>
      </c>
      <c r="AG206" s="392">
        <f>AG109</f>
        <v/>
      </c>
      <c r="AH206" s="392">
        <f>AH109</f>
        <v/>
      </c>
      <c r="AI206" s="392">
        <f>AI109</f>
        <v/>
      </c>
      <c r="AJ206" s="392">
        <f>AJ109</f>
        <v/>
      </c>
      <c r="AK206" s="392">
        <f>AK109</f>
        <v/>
      </c>
      <c r="AL206" s="392">
        <f>AL109</f>
        <v/>
      </c>
      <c r="AM206" s="392">
        <f>AM109</f>
        <v/>
      </c>
      <c r="AN206" s="392">
        <f>AN109</f>
        <v/>
      </c>
      <c r="AO206" s="392">
        <f>AO109</f>
        <v/>
      </c>
      <c r="AP206" s="392">
        <f>AP109</f>
        <v/>
      </c>
      <c r="AQ206" s="392">
        <f>AQ109</f>
        <v/>
      </c>
      <c r="AR206" s="392">
        <f>AR109</f>
        <v/>
      </c>
      <c r="AS206" s="392">
        <f>AS109</f>
        <v/>
      </c>
      <c r="AT206" s="392">
        <f>AT109</f>
        <v/>
      </c>
      <c r="AU206" s="392">
        <f>AU109</f>
        <v/>
      </c>
      <c r="AV206" s="392">
        <f>AV109</f>
        <v/>
      </c>
      <c r="AW206" s="392">
        <f>AW109</f>
        <v/>
      </c>
      <c r="AX206" s="392">
        <f>AX109</f>
        <v/>
      </c>
      <c r="AY206" s="392">
        <f>AY109</f>
        <v/>
      </c>
      <c r="AZ206" s="392">
        <f>AZ109</f>
        <v/>
      </c>
      <c r="BA206" s="392">
        <f>BA109</f>
        <v/>
      </c>
      <c r="BB206" s="392">
        <f>BB109</f>
        <v/>
      </c>
      <c r="BC206" s="392">
        <f>BC109</f>
        <v/>
      </c>
      <c r="BD206" s="392">
        <f>BD109</f>
        <v/>
      </c>
      <c r="BE206" s="392">
        <f>BE109</f>
        <v/>
      </c>
      <c r="BF206" s="392">
        <f>BF109</f>
        <v/>
      </c>
      <c r="BG206" s="392">
        <f>BG109</f>
        <v/>
      </c>
      <c r="BH206" s="392">
        <f>BH109</f>
        <v/>
      </c>
      <c r="BI206" s="392">
        <f>BI109</f>
        <v/>
      </c>
      <c r="BJ206" s="392">
        <f>BJ109</f>
        <v/>
      </c>
      <c r="BK206" s="392">
        <f>BK109</f>
        <v/>
      </c>
      <c r="BL206" s="392">
        <f>BL109</f>
        <v/>
      </c>
      <c r="BM206" s="392">
        <f>BM109</f>
        <v/>
      </c>
      <c r="BN206" s="392">
        <f>BN109</f>
        <v/>
      </c>
      <c r="BO206" s="392">
        <f>BO109</f>
        <v/>
      </c>
      <c r="BP206" s="392">
        <f>BP109</f>
        <v/>
      </c>
      <c r="BQ206" s="392">
        <f>BQ109</f>
        <v/>
      </c>
      <c r="BR206" s="392">
        <f>BR109</f>
        <v/>
      </c>
      <c r="BS206" s="392">
        <f>BS109</f>
        <v/>
      </c>
      <c r="BT206" s="392">
        <f>BT109</f>
        <v/>
      </c>
      <c r="BU206" s="392">
        <f>BU109</f>
        <v/>
      </c>
      <c r="BV206" s="392">
        <f>BV109</f>
        <v/>
      </c>
      <c r="BW206" s="392">
        <f>BW109</f>
        <v/>
      </c>
      <c r="BX206" s="392">
        <f>BX109</f>
        <v/>
      </c>
      <c r="BY206" s="392">
        <f>BY109</f>
        <v/>
      </c>
      <c r="BZ206" s="392">
        <f>BZ109</f>
        <v/>
      </c>
      <c r="CA206" s="392">
        <f>CA109</f>
        <v/>
      </c>
      <c r="CB206" s="392">
        <f>CB109</f>
        <v/>
      </c>
      <c r="CC206" s="392">
        <f>CC109</f>
        <v/>
      </c>
      <c r="CD206" s="392">
        <f>CD109</f>
        <v/>
      </c>
      <c r="CE206" s="392">
        <f>CE109</f>
        <v/>
      </c>
      <c r="CF206" s="392">
        <f>CF109</f>
        <v/>
      </c>
      <c r="CG206" s="392">
        <f>CG109</f>
        <v/>
      </c>
      <c r="CH206" s="392">
        <f>CH109</f>
        <v/>
      </c>
      <c r="CI206" s="392">
        <f>CI109</f>
        <v/>
      </c>
      <c r="CJ206" s="392">
        <f>CJ109</f>
        <v/>
      </c>
      <c r="CK206" s="392">
        <f>CK109</f>
        <v/>
      </c>
      <c r="CL206" s="392">
        <f>CL109</f>
        <v/>
      </c>
      <c r="CM206" s="392">
        <f>CM109</f>
        <v/>
      </c>
      <c r="CN206" s="392">
        <f>CN109</f>
        <v/>
      </c>
      <c r="CO206" s="392">
        <f>CO109</f>
        <v/>
      </c>
      <c r="CP206" s="392">
        <f>CP109</f>
        <v/>
      </c>
      <c r="CQ206" s="392">
        <f>CQ109</f>
        <v/>
      </c>
      <c r="CR206" s="392">
        <f>CR109</f>
        <v/>
      </c>
      <c r="CS206" s="392">
        <f>CS109</f>
        <v/>
      </c>
      <c r="CT206" s="392">
        <f>CT109</f>
        <v/>
      </c>
      <c r="CU206" s="392">
        <f>CU109</f>
        <v/>
      </c>
      <c r="CV206" s="392">
        <f>CV109</f>
        <v/>
      </c>
      <c r="CW206" s="392">
        <f>CW109</f>
        <v/>
      </c>
      <c r="CX206" s="392">
        <f>CX109</f>
        <v/>
      </c>
      <c r="CY206" s="392">
        <f>CY109</f>
        <v/>
      </c>
      <c r="CZ206" s="392">
        <f>CZ109</f>
        <v/>
      </c>
      <c r="DA206" s="392">
        <f>DA109</f>
        <v/>
      </c>
      <c r="DB206" s="392">
        <f>DB109</f>
        <v/>
      </c>
      <c r="DC206" s="392">
        <f>DC109</f>
        <v/>
      </c>
      <c r="DD206" s="392">
        <f>DD109</f>
        <v/>
      </c>
      <c r="DE206" s="392">
        <f>DE109</f>
        <v/>
      </c>
    </row>
    <row r="207" ht="15" customFormat="1" customHeight="1" s="380">
      <c r="A207" s="420" t="inlineStr">
        <is>
          <t>Six Peak Revenue</t>
        </is>
      </c>
      <c r="B207" s="392">
        <f>B171</f>
        <v/>
      </c>
      <c r="C207" s="392">
        <f>C171</f>
        <v/>
      </c>
      <c r="D207" s="392">
        <f>D171</f>
        <v/>
      </c>
      <c r="E207" s="392">
        <f>E171</f>
        <v/>
      </c>
      <c r="F207" s="392">
        <f>F171</f>
        <v/>
      </c>
      <c r="G207" s="392">
        <f>G171</f>
        <v/>
      </c>
      <c r="H207" s="392">
        <f>H171</f>
        <v/>
      </c>
      <c r="I207" s="392">
        <f>I171</f>
        <v/>
      </c>
      <c r="J207" s="392">
        <f>J171</f>
        <v/>
      </c>
      <c r="K207" s="392">
        <f>K171</f>
        <v/>
      </c>
      <c r="L207" s="392">
        <f>L171</f>
        <v/>
      </c>
      <c r="M207" s="392">
        <f>M171</f>
        <v/>
      </c>
      <c r="N207" s="392">
        <f>N171</f>
        <v/>
      </c>
      <c r="O207" s="392">
        <f>O171</f>
        <v/>
      </c>
      <c r="P207" s="392">
        <f>P171</f>
        <v/>
      </c>
      <c r="Q207" s="392">
        <f>Q171</f>
        <v/>
      </c>
      <c r="R207" s="392">
        <f>R171</f>
        <v/>
      </c>
      <c r="S207" s="392">
        <f>S171</f>
        <v/>
      </c>
      <c r="T207" s="392">
        <f>T171</f>
        <v/>
      </c>
      <c r="U207" s="392">
        <f>U171</f>
        <v/>
      </c>
      <c r="V207" s="392">
        <f>V171</f>
        <v/>
      </c>
      <c r="W207" s="392">
        <f>W171</f>
        <v/>
      </c>
      <c r="X207" s="392">
        <f>X171</f>
        <v/>
      </c>
      <c r="Y207" s="392">
        <f>Y171</f>
        <v/>
      </c>
      <c r="Z207" s="392">
        <f>Z171</f>
        <v/>
      </c>
      <c r="AA207" s="392">
        <f>AA171</f>
        <v/>
      </c>
      <c r="AB207" s="392">
        <f>AB171</f>
        <v/>
      </c>
      <c r="AC207" s="392">
        <f>AC171</f>
        <v/>
      </c>
      <c r="AD207" s="392">
        <f>AD171</f>
        <v/>
      </c>
      <c r="AE207" s="392">
        <f>AE171</f>
        <v/>
      </c>
      <c r="AF207" s="392">
        <f>AF171</f>
        <v/>
      </c>
      <c r="AG207" s="392">
        <f>AG171</f>
        <v/>
      </c>
      <c r="AH207" s="392">
        <f>AH171</f>
        <v/>
      </c>
      <c r="AI207" s="392">
        <f>AI171</f>
        <v/>
      </c>
      <c r="AJ207" s="392">
        <f>AJ171</f>
        <v/>
      </c>
      <c r="AK207" s="392">
        <f>AK171</f>
        <v/>
      </c>
      <c r="AL207" s="392">
        <f>AL171</f>
        <v/>
      </c>
      <c r="AM207" s="392">
        <f>AM171</f>
        <v/>
      </c>
      <c r="AN207" s="392">
        <f>AN171</f>
        <v/>
      </c>
      <c r="AO207" s="392">
        <f>AO171</f>
        <v/>
      </c>
      <c r="AP207" s="392">
        <f>AP171</f>
        <v/>
      </c>
      <c r="AQ207" s="392">
        <f>AQ171</f>
        <v/>
      </c>
      <c r="AR207" s="392">
        <f>AR171</f>
        <v/>
      </c>
      <c r="AS207" s="392">
        <f>AS171</f>
        <v/>
      </c>
      <c r="AT207" s="392">
        <f>AT171</f>
        <v/>
      </c>
      <c r="AU207" s="392">
        <f>AU171</f>
        <v/>
      </c>
      <c r="AV207" s="392">
        <f>AV171</f>
        <v/>
      </c>
      <c r="AW207" s="392">
        <f>AW171</f>
        <v/>
      </c>
      <c r="AX207" s="392">
        <f>AX171</f>
        <v/>
      </c>
      <c r="AY207" s="392">
        <f>AY171</f>
        <v/>
      </c>
      <c r="AZ207" s="392">
        <f>AZ171</f>
        <v/>
      </c>
      <c r="BA207" s="392">
        <f>BA171</f>
        <v/>
      </c>
      <c r="BB207" s="392">
        <f>BB171</f>
        <v/>
      </c>
      <c r="BC207" s="392">
        <f>BC171</f>
        <v/>
      </c>
      <c r="BD207" s="392">
        <f>BD171</f>
        <v/>
      </c>
      <c r="BE207" s="392">
        <f>BE171</f>
        <v/>
      </c>
      <c r="BF207" s="392">
        <f>BF171</f>
        <v/>
      </c>
      <c r="BG207" s="392">
        <f>BG171</f>
        <v/>
      </c>
      <c r="BH207" s="392">
        <f>BH171</f>
        <v/>
      </c>
      <c r="BI207" s="392">
        <f>BI171</f>
        <v/>
      </c>
      <c r="BJ207" s="392">
        <f>BJ171</f>
        <v/>
      </c>
      <c r="BK207" s="392">
        <f>BK171</f>
        <v/>
      </c>
      <c r="BL207" s="392">
        <f>BL171</f>
        <v/>
      </c>
      <c r="BM207" s="392">
        <f>BM171</f>
        <v/>
      </c>
      <c r="BN207" s="392">
        <f>BN171</f>
        <v/>
      </c>
      <c r="BO207" s="392">
        <f>BO171</f>
        <v/>
      </c>
      <c r="BP207" s="392">
        <f>BP171</f>
        <v/>
      </c>
      <c r="BQ207" s="392">
        <f>BQ171</f>
        <v/>
      </c>
      <c r="BR207" s="392">
        <f>BR171</f>
        <v/>
      </c>
      <c r="BS207" s="392">
        <f>BS171</f>
        <v/>
      </c>
      <c r="BT207" s="392">
        <f>BT171</f>
        <v/>
      </c>
      <c r="BU207" s="392">
        <f>BU171</f>
        <v/>
      </c>
      <c r="BV207" s="392">
        <f>BV171</f>
        <v/>
      </c>
      <c r="BW207" s="392">
        <f>BW171</f>
        <v/>
      </c>
      <c r="BX207" s="392">
        <f>BX171</f>
        <v/>
      </c>
      <c r="BY207" s="392">
        <f>BY171</f>
        <v/>
      </c>
      <c r="BZ207" s="392">
        <f>BZ171</f>
        <v/>
      </c>
      <c r="CA207" s="392">
        <f>CA171</f>
        <v/>
      </c>
      <c r="CB207" s="392">
        <f>CB171</f>
        <v/>
      </c>
      <c r="CC207" s="392">
        <f>CC171</f>
        <v/>
      </c>
      <c r="CD207" s="392">
        <f>CD171</f>
        <v/>
      </c>
      <c r="CE207" s="392">
        <f>CE171</f>
        <v/>
      </c>
      <c r="CF207" s="392">
        <f>CF171</f>
        <v/>
      </c>
      <c r="CG207" s="392">
        <f>CG171</f>
        <v/>
      </c>
      <c r="CH207" s="392">
        <f>CH171</f>
        <v/>
      </c>
      <c r="CI207" s="392">
        <f>CI171</f>
        <v/>
      </c>
      <c r="CJ207" s="392">
        <f>CJ171</f>
        <v/>
      </c>
      <c r="CK207" s="392">
        <f>CK171</f>
        <v/>
      </c>
      <c r="CL207" s="392">
        <f>CL171</f>
        <v/>
      </c>
      <c r="CM207" s="392">
        <f>CM171</f>
        <v/>
      </c>
      <c r="CN207" s="392">
        <f>CN171</f>
        <v/>
      </c>
      <c r="CO207" s="392">
        <f>CO171</f>
        <v/>
      </c>
      <c r="CP207" s="392">
        <f>CP171</f>
        <v/>
      </c>
      <c r="CQ207" s="392">
        <f>CQ171</f>
        <v/>
      </c>
      <c r="CR207" s="392">
        <f>CR171</f>
        <v/>
      </c>
      <c r="CS207" s="392">
        <f>CS171</f>
        <v/>
      </c>
      <c r="CT207" s="392">
        <f>CT171</f>
        <v/>
      </c>
      <c r="CU207" s="392">
        <f>CU171</f>
        <v/>
      </c>
      <c r="CV207" s="392">
        <f>CV171</f>
        <v/>
      </c>
      <c r="CW207" s="392">
        <f>CW171</f>
        <v/>
      </c>
      <c r="CX207" s="392">
        <f>CX171</f>
        <v/>
      </c>
      <c r="CY207" s="392">
        <f>CY171</f>
        <v/>
      </c>
      <c r="CZ207" s="392">
        <f>CZ171</f>
        <v/>
      </c>
      <c r="DA207" s="392">
        <f>DA171</f>
        <v/>
      </c>
      <c r="DB207" s="392">
        <f>DB171</f>
        <v/>
      </c>
      <c r="DC207" s="392">
        <f>DC171</f>
        <v/>
      </c>
      <c r="DD207" s="392">
        <f>DD171</f>
        <v/>
      </c>
      <c r="DE207" s="392">
        <f>DE171</f>
        <v/>
      </c>
    </row>
    <row r="208" ht="15" customFormat="1" customHeight="1" s="380">
      <c r="A208" s="421" t="inlineStr">
        <is>
          <t>Total Income (GC gross profit + SP revenue)</t>
        </is>
      </c>
      <c r="B208" s="409">
        <f>B206+B207</f>
        <v/>
      </c>
      <c r="C208" s="409">
        <f>C206+C207</f>
        <v/>
      </c>
      <c r="D208" s="409">
        <f>D206+D207</f>
        <v/>
      </c>
      <c r="E208" s="409">
        <f>E206+E207</f>
        <v/>
      </c>
      <c r="F208" s="409">
        <f>F206+F207</f>
        <v/>
      </c>
      <c r="G208" s="409">
        <f>G206+G207</f>
        <v/>
      </c>
      <c r="H208" s="409">
        <f>H206+H207</f>
        <v/>
      </c>
      <c r="I208" s="409">
        <f>I206+I207</f>
        <v/>
      </c>
      <c r="J208" s="409">
        <f>J206+J207</f>
        <v/>
      </c>
      <c r="K208" s="409">
        <f>K206+K207</f>
        <v/>
      </c>
      <c r="L208" s="409">
        <f>L206+L207</f>
        <v/>
      </c>
      <c r="M208" s="409">
        <f>M206+M207</f>
        <v/>
      </c>
      <c r="N208" s="409">
        <f>N206+N207</f>
        <v/>
      </c>
      <c r="O208" s="409">
        <f>O206+O207</f>
        <v/>
      </c>
      <c r="P208" s="409">
        <f>P206+P207</f>
        <v/>
      </c>
      <c r="Q208" s="409">
        <f>Q206+Q207</f>
        <v/>
      </c>
      <c r="R208" s="409">
        <f>R206+R207</f>
        <v/>
      </c>
      <c r="S208" s="409">
        <f>S206+S207</f>
        <v/>
      </c>
      <c r="T208" s="409">
        <f>T206+T207</f>
        <v/>
      </c>
      <c r="U208" s="409">
        <f>U206+U207</f>
        <v/>
      </c>
      <c r="V208" s="409">
        <f>V206+V207</f>
        <v/>
      </c>
      <c r="W208" s="409">
        <f>W206+W207</f>
        <v/>
      </c>
      <c r="X208" s="409">
        <f>X206+X207</f>
        <v/>
      </c>
      <c r="Y208" s="409">
        <f>Y206+Y207</f>
        <v/>
      </c>
      <c r="Z208" s="409">
        <f>Z206+Z207</f>
        <v/>
      </c>
      <c r="AA208" s="409">
        <f>AA206+AA207</f>
        <v/>
      </c>
      <c r="AB208" s="409">
        <f>AB206+AB207</f>
        <v/>
      </c>
      <c r="AC208" s="409">
        <f>AC206+AC207</f>
        <v/>
      </c>
      <c r="AD208" s="409">
        <f>AD206+AD207</f>
        <v/>
      </c>
      <c r="AE208" s="409">
        <f>AE206+AE207</f>
        <v/>
      </c>
      <c r="AF208" s="409">
        <f>AF206+AF207</f>
        <v/>
      </c>
      <c r="AG208" s="409">
        <f>AG206+AG207</f>
        <v/>
      </c>
      <c r="AH208" s="409">
        <f>AH206+AH207</f>
        <v/>
      </c>
      <c r="AI208" s="409">
        <f>AI206+AI207</f>
        <v/>
      </c>
      <c r="AJ208" s="409">
        <f>AJ206+AJ207</f>
        <v/>
      </c>
      <c r="AK208" s="409">
        <f>AK206+AK207</f>
        <v/>
      </c>
      <c r="AL208" s="409">
        <f>AL206+AL207</f>
        <v/>
      </c>
      <c r="AM208" s="409">
        <f>AM206+AM207</f>
        <v/>
      </c>
      <c r="AN208" s="409">
        <f>AN206+AN207</f>
        <v/>
      </c>
      <c r="AO208" s="409">
        <f>AO206+AO207</f>
        <v/>
      </c>
      <c r="AP208" s="409">
        <f>AP206+AP207</f>
        <v/>
      </c>
      <c r="AQ208" s="409">
        <f>AQ206+AQ207</f>
        <v/>
      </c>
      <c r="AR208" s="409">
        <f>AR206+AR207</f>
        <v/>
      </c>
      <c r="AS208" s="409">
        <f>AS206+AS207</f>
        <v/>
      </c>
      <c r="AT208" s="409">
        <f>AT206+AT207</f>
        <v/>
      </c>
      <c r="AU208" s="409">
        <f>AU206+AU207</f>
        <v/>
      </c>
      <c r="AV208" s="409">
        <f>AV206+AV207</f>
        <v/>
      </c>
      <c r="AW208" s="409">
        <f>AW206+AW207</f>
        <v/>
      </c>
      <c r="AX208" s="409">
        <f>AX206+AX207</f>
        <v/>
      </c>
      <c r="AY208" s="409">
        <f>AY206+AY207</f>
        <v/>
      </c>
      <c r="AZ208" s="409">
        <f>AZ206+AZ207</f>
        <v/>
      </c>
      <c r="BA208" s="409">
        <f>BA206+BA207</f>
        <v/>
      </c>
      <c r="BB208" s="409">
        <f>BB206+BB207</f>
        <v/>
      </c>
      <c r="BC208" s="409">
        <f>BC206+BC207</f>
        <v/>
      </c>
      <c r="BD208" s="409">
        <f>BD206+BD207</f>
        <v/>
      </c>
      <c r="BE208" s="409">
        <f>BE206+BE207</f>
        <v/>
      </c>
      <c r="BF208" s="409">
        <f>BF206+BF207</f>
        <v/>
      </c>
      <c r="BG208" s="409">
        <f>BG206+BG207</f>
        <v/>
      </c>
      <c r="BH208" s="409">
        <f>BH206+BH207</f>
        <v/>
      </c>
      <c r="BI208" s="409">
        <f>BI206+BI207</f>
        <v/>
      </c>
      <c r="BJ208" s="409">
        <f>BJ206+BJ207</f>
        <v/>
      </c>
      <c r="BK208" s="409">
        <f>BK206+BK207</f>
        <v/>
      </c>
      <c r="BL208" s="409">
        <f>BL206+BL207</f>
        <v/>
      </c>
      <c r="BM208" s="409">
        <f>BM206+BM207</f>
        <v/>
      </c>
      <c r="BN208" s="409">
        <f>BN206+BN207</f>
        <v/>
      </c>
      <c r="BO208" s="409">
        <f>BO206+BO207</f>
        <v/>
      </c>
      <c r="BP208" s="409">
        <f>BP206+BP207</f>
        <v/>
      </c>
      <c r="BQ208" s="409">
        <f>BQ206+BQ207</f>
        <v/>
      </c>
      <c r="BR208" s="409">
        <f>BR206+BR207</f>
        <v/>
      </c>
      <c r="BS208" s="409">
        <f>BS206+BS207</f>
        <v/>
      </c>
      <c r="BT208" s="409">
        <f>BT206+BT207</f>
        <v/>
      </c>
      <c r="BU208" s="409">
        <f>BU206+BU207</f>
        <v/>
      </c>
      <c r="BV208" s="409">
        <f>BV206+BV207</f>
        <v/>
      </c>
      <c r="BW208" s="409">
        <f>BW206+BW207</f>
        <v/>
      </c>
      <c r="BX208" s="409">
        <f>BX206+BX207</f>
        <v/>
      </c>
      <c r="BY208" s="409">
        <f>BY206+BY207</f>
        <v/>
      </c>
      <c r="BZ208" s="409">
        <f>BZ206+BZ207</f>
        <v/>
      </c>
      <c r="CA208" s="409">
        <f>CA206+CA207</f>
        <v/>
      </c>
      <c r="CB208" s="409">
        <f>CB206+CB207</f>
        <v/>
      </c>
      <c r="CC208" s="409">
        <f>CC206+CC207</f>
        <v/>
      </c>
      <c r="CD208" s="409">
        <f>CD206+CD207</f>
        <v/>
      </c>
      <c r="CE208" s="409">
        <f>CE206+CE207</f>
        <v/>
      </c>
      <c r="CF208" s="409">
        <f>CF206+CF207</f>
        <v/>
      </c>
      <c r="CG208" s="409">
        <f>CG206+CG207</f>
        <v/>
      </c>
      <c r="CH208" s="409">
        <f>CH206+CH207</f>
        <v/>
      </c>
      <c r="CI208" s="409">
        <f>CI206+CI207</f>
        <v/>
      </c>
      <c r="CJ208" s="409">
        <f>CJ206+CJ207</f>
        <v/>
      </c>
      <c r="CK208" s="409">
        <f>CK206+CK207</f>
        <v/>
      </c>
      <c r="CL208" s="409">
        <f>CL206+CL207</f>
        <v/>
      </c>
      <c r="CM208" s="409">
        <f>CM206+CM207</f>
        <v/>
      </c>
      <c r="CN208" s="409">
        <f>CN206+CN207</f>
        <v/>
      </c>
      <c r="CO208" s="409">
        <f>CO206+CO207</f>
        <v/>
      </c>
      <c r="CP208" s="409">
        <f>CP206+CP207</f>
        <v/>
      </c>
      <c r="CQ208" s="409">
        <f>CQ206+CQ207</f>
        <v/>
      </c>
      <c r="CR208" s="409">
        <f>CR206+CR207</f>
        <v/>
      </c>
      <c r="CS208" s="409">
        <f>CS206+CS207</f>
        <v/>
      </c>
      <c r="CT208" s="409">
        <f>CT206+CT207</f>
        <v/>
      </c>
      <c r="CU208" s="409">
        <f>CU206+CU207</f>
        <v/>
      </c>
      <c r="CV208" s="409">
        <f>CV206+CV207</f>
        <v/>
      </c>
      <c r="CW208" s="409">
        <f>CW206+CW207</f>
        <v/>
      </c>
      <c r="CX208" s="409">
        <f>CX206+CX207</f>
        <v/>
      </c>
      <c r="CY208" s="409">
        <f>CY206+CY207</f>
        <v/>
      </c>
      <c r="CZ208" s="409">
        <f>CZ206+CZ207</f>
        <v/>
      </c>
      <c r="DA208" s="409">
        <f>DA206+DA207</f>
        <v/>
      </c>
      <c r="DB208" s="409">
        <f>DB206+DB207</f>
        <v/>
      </c>
      <c r="DC208" s="409">
        <f>DC206+DC207</f>
        <v/>
      </c>
      <c r="DD208" s="409">
        <f>DD206+DD207</f>
        <v/>
      </c>
      <c r="DE208" s="409">
        <f>DE206+DE207</f>
        <v/>
      </c>
    </row>
    <row r="209" ht="15" customFormat="1" customHeight="1" s="380">
      <c r="A209" s="420" t="inlineStr">
        <is>
          <t>GC Costs (net of trade COGS)</t>
        </is>
      </c>
      <c r="B209" s="392">
        <f>B146</f>
        <v/>
      </c>
      <c r="C209" s="392">
        <f>C146</f>
        <v/>
      </c>
      <c r="D209" s="392">
        <f>D146</f>
        <v/>
      </c>
      <c r="E209" s="392">
        <f>E146</f>
        <v/>
      </c>
      <c r="F209" s="392">
        <f>F146</f>
        <v/>
      </c>
      <c r="G209" s="392">
        <f>G146</f>
        <v/>
      </c>
      <c r="H209" s="392">
        <f>H146</f>
        <v/>
      </c>
      <c r="I209" s="392">
        <f>I146</f>
        <v/>
      </c>
      <c r="J209" s="392">
        <f>J146</f>
        <v/>
      </c>
      <c r="K209" s="392">
        <f>K146</f>
        <v/>
      </c>
      <c r="L209" s="392">
        <f>L146</f>
        <v/>
      </c>
      <c r="M209" s="392">
        <f>M146</f>
        <v/>
      </c>
      <c r="N209" s="392">
        <f>N146</f>
        <v/>
      </c>
      <c r="O209" s="392">
        <f>O146</f>
        <v/>
      </c>
      <c r="P209" s="392">
        <f>P146</f>
        <v/>
      </c>
      <c r="Q209" s="392">
        <f>Q146</f>
        <v/>
      </c>
      <c r="R209" s="392">
        <f>R146</f>
        <v/>
      </c>
      <c r="S209" s="392">
        <f>S146</f>
        <v/>
      </c>
      <c r="T209" s="392">
        <f>T146</f>
        <v/>
      </c>
      <c r="U209" s="392">
        <f>U146</f>
        <v/>
      </c>
      <c r="V209" s="392">
        <f>V146</f>
        <v/>
      </c>
      <c r="W209" s="392">
        <f>W146</f>
        <v/>
      </c>
      <c r="X209" s="392">
        <f>X146</f>
        <v/>
      </c>
      <c r="Y209" s="392">
        <f>Y146</f>
        <v/>
      </c>
      <c r="Z209" s="392">
        <f>Z146</f>
        <v/>
      </c>
      <c r="AA209" s="392">
        <f>AA146</f>
        <v/>
      </c>
      <c r="AB209" s="392">
        <f>AB146</f>
        <v/>
      </c>
      <c r="AC209" s="392">
        <f>AC146</f>
        <v/>
      </c>
      <c r="AD209" s="392">
        <f>AD146</f>
        <v/>
      </c>
      <c r="AE209" s="392">
        <f>AE146</f>
        <v/>
      </c>
      <c r="AF209" s="392">
        <f>AF146</f>
        <v/>
      </c>
      <c r="AG209" s="392">
        <f>AG146</f>
        <v/>
      </c>
      <c r="AH209" s="392">
        <f>AH146</f>
        <v/>
      </c>
      <c r="AI209" s="392">
        <f>AI146</f>
        <v/>
      </c>
      <c r="AJ209" s="392">
        <f>AJ146</f>
        <v/>
      </c>
      <c r="AK209" s="392">
        <f>AK146</f>
        <v/>
      </c>
      <c r="AL209" s="392">
        <f>AL146</f>
        <v/>
      </c>
      <c r="AM209" s="392">
        <f>AM146</f>
        <v/>
      </c>
      <c r="AN209" s="392">
        <f>AN146</f>
        <v/>
      </c>
      <c r="AO209" s="392">
        <f>AO146</f>
        <v/>
      </c>
      <c r="AP209" s="392">
        <f>AP146</f>
        <v/>
      </c>
      <c r="AQ209" s="392">
        <f>AQ146</f>
        <v/>
      </c>
      <c r="AR209" s="392">
        <f>AR146</f>
        <v/>
      </c>
      <c r="AS209" s="392">
        <f>AS146</f>
        <v/>
      </c>
      <c r="AT209" s="392">
        <f>AT146</f>
        <v/>
      </c>
      <c r="AU209" s="392">
        <f>AU146</f>
        <v/>
      </c>
      <c r="AV209" s="392">
        <f>AV146</f>
        <v/>
      </c>
      <c r="AW209" s="392">
        <f>AW146</f>
        <v/>
      </c>
      <c r="AX209" s="392">
        <f>AX146</f>
        <v/>
      </c>
      <c r="AY209" s="392">
        <f>AY146</f>
        <v/>
      </c>
      <c r="AZ209" s="392">
        <f>AZ146</f>
        <v/>
      </c>
      <c r="BA209" s="392">
        <f>BA146</f>
        <v/>
      </c>
      <c r="BB209" s="392">
        <f>BB146</f>
        <v/>
      </c>
      <c r="BC209" s="392">
        <f>BC146</f>
        <v/>
      </c>
      <c r="BD209" s="392">
        <f>BD146</f>
        <v/>
      </c>
      <c r="BE209" s="392">
        <f>BE146</f>
        <v/>
      </c>
      <c r="BF209" s="392">
        <f>BF146</f>
        <v/>
      </c>
      <c r="BG209" s="392">
        <f>BG146</f>
        <v/>
      </c>
      <c r="BH209" s="392">
        <f>BH146</f>
        <v/>
      </c>
      <c r="BI209" s="392">
        <f>BI146</f>
        <v/>
      </c>
      <c r="BJ209" s="392">
        <f>BJ146</f>
        <v/>
      </c>
      <c r="BK209" s="392">
        <f>BK146</f>
        <v/>
      </c>
      <c r="BL209" s="392">
        <f>BL146</f>
        <v/>
      </c>
      <c r="BM209" s="392">
        <f>BM146</f>
        <v/>
      </c>
      <c r="BN209" s="392">
        <f>BN146</f>
        <v/>
      </c>
      <c r="BO209" s="392">
        <f>BO146</f>
        <v/>
      </c>
      <c r="BP209" s="392">
        <f>BP146</f>
        <v/>
      </c>
      <c r="BQ209" s="392">
        <f>BQ146</f>
        <v/>
      </c>
      <c r="BR209" s="392">
        <f>BR146</f>
        <v/>
      </c>
      <c r="BS209" s="392">
        <f>BS146</f>
        <v/>
      </c>
      <c r="BT209" s="392">
        <f>BT146</f>
        <v/>
      </c>
      <c r="BU209" s="392">
        <f>BU146</f>
        <v/>
      </c>
      <c r="BV209" s="392">
        <f>BV146</f>
        <v/>
      </c>
      <c r="BW209" s="392">
        <f>BW146</f>
        <v/>
      </c>
      <c r="BX209" s="392">
        <f>BX146</f>
        <v/>
      </c>
      <c r="BY209" s="392">
        <f>BY146</f>
        <v/>
      </c>
      <c r="BZ209" s="392">
        <f>BZ146</f>
        <v/>
      </c>
      <c r="CA209" s="392">
        <f>CA146</f>
        <v/>
      </c>
      <c r="CB209" s="392">
        <f>CB146</f>
        <v/>
      </c>
      <c r="CC209" s="392">
        <f>CC146</f>
        <v/>
      </c>
      <c r="CD209" s="392">
        <f>CD146</f>
        <v/>
      </c>
      <c r="CE209" s="392">
        <f>CE146</f>
        <v/>
      </c>
      <c r="CF209" s="392">
        <f>CF146</f>
        <v/>
      </c>
      <c r="CG209" s="392">
        <f>CG146</f>
        <v/>
      </c>
      <c r="CH209" s="392">
        <f>CH146</f>
        <v/>
      </c>
      <c r="CI209" s="392">
        <f>CI146</f>
        <v/>
      </c>
      <c r="CJ209" s="392">
        <f>CJ146</f>
        <v/>
      </c>
      <c r="CK209" s="392">
        <f>CK146</f>
        <v/>
      </c>
      <c r="CL209" s="392">
        <f>CL146</f>
        <v/>
      </c>
      <c r="CM209" s="392">
        <f>CM146</f>
        <v/>
      </c>
      <c r="CN209" s="392">
        <f>CN146</f>
        <v/>
      </c>
      <c r="CO209" s="392">
        <f>CO146</f>
        <v/>
      </c>
      <c r="CP209" s="392">
        <f>CP146</f>
        <v/>
      </c>
      <c r="CQ209" s="392">
        <f>CQ146</f>
        <v/>
      </c>
      <c r="CR209" s="392">
        <f>CR146</f>
        <v/>
      </c>
      <c r="CS209" s="392">
        <f>CS146</f>
        <v/>
      </c>
      <c r="CT209" s="392">
        <f>CT146</f>
        <v/>
      </c>
      <c r="CU209" s="392">
        <f>CU146</f>
        <v/>
      </c>
      <c r="CV209" s="392">
        <f>CV146</f>
        <v/>
      </c>
      <c r="CW209" s="392">
        <f>CW146</f>
        <v/>
      </c>
      <c r="CX209" s="392">
        <f>CX146</f>
        <v/>
      </c>
      <c r="CY209" s="392">
        <f>CY146</f>
        <v/>
      </c>
      <c r="CZ209" s="392">
        <f>CZ146</f>
        <v/>
      </c>
      <c r="DA209" s="392">
        <f>DA146</f>
        <v/>
      </c>
      <c r="DB209" s="392">
        <f>DB146</f>
        <v/>
      </c>
      <c r="DC209" s="392">
        <f>DC146</f>
        <v/>
      </c>
      <c r="DD209" s="392">
        <f>DD146</f>
        <v/>
      </c>
      <c r="DE209" s="392">
        <f>DE146</f>
        <v/>
      </c>
    </row>
    <row r="210" ht="15" customFormat="1" customHeight="1" s="380">
      <c r="A210" s="420" t="inlineStr">
        <is>
          <t>Six Peak Expenses</t>
        </is>
      </c>
      <c r="B210" s="392">
        <f>B202</f>
        <v/>
      </c>
      <c r="C210" s="392">
        <f>C202</f>
        <v/>
      </c>
      <c r="D210" s="392">
        <f>D202</f>
        <v/>
      </c>
      <c r="E210" s="392">
        <f>E202</f>
        <v/>
      </c>
      <c r="F210" s="392">
        <f>F202</f>
        <v/>
      </c>
      <c r="G210" s="392">
        <f>G202</f>
        <v/>
      </c>
      <c r="H210" s="392">
        <f>H202</f>
        <v/>
      </c>
      <c r="I210" s="392">
        <f>I202</f>
        <v/>
      </c>
      <c r="J210" s="392">
        <f>J202</f>
        <v/>
      </c>
      <c r="K210" s="392">
        <f>K202</f>
        <v/>
      </c>
      <c r="L210" s="392">
        <f>L202</f>
        <v/>
      </c>
      <c r="M210" s="392">
        <f>M202</f>
        <v/>
      </c>
      <c r="N210" s="392">
        <f>N202</f>
        <v/>
      </c>
      <c r="O210" s="392">
        <f>O202</f>
        <v/>
      </c>
      <c r="P210" s="392">
        <f>P202</f>
        <v/>
      </c>
      <c r="Q210" s="392">
        <f>Q202</f>
        <v/>
      </c>
      <c r="R210" s="392">
        <f>R202</f>
        <v/>
      </c>
      <c r="S210" s="392">
        <f>S202</f>
        <v/>
      </c>
      <c r="T210" s="392">
        <f>T202</f>
        <v/>
      </c>
      <c r="U210" s="392">
        <f>U202</f>
        <v/>
      </c>
      <c r="V210" s="392">
        <f>V202</f>
        <v/>
      </c>
      <c r="W210" s="392">
        <f>W202</f>
        <v/>
      </c>
      <c r="X210" s="392">
        <f>X202</f>
        <v/>
      </c>
      <c r="Y210" s="392">
        <f>Y202</f>
        <v/>
      </c>
      <c r="Z210" s="392">
        <f>Z202</f>
        <v/>
      </c>
      <c r="AA210" s="392">
        <f>AA202</f>
        <v/>
      </c>
      <c r="AB210" s="392">
        <f>AB202</f>
        <v/>
      </c>
      <c r="AC210" s="392">
        <f>AC202</f>
        <v/>
      </c>
      <c r="AD210" s="392">
        <f>AD202</f>
        <v/>
      </c>
      <c r="AE210" s="392">
        <f>AE202</f>
        <v/>
      </c>
      <c r="AF210" s="392">
        <f>AF202</f>
        <v/>
      </c>
      <c r="AG210" s="392">
        <f>AG202</f>
        <v/>
      </c>
      <c r="AH210" s="392">
        <f>AH202</f>
        <v/>
      </c>
      <c r="AI210" s="392">
        <f>AI202</f>
        <v/>
      </c>
      <c r="AJ210" s="392">
        <f>AJ202</f>
        <v/>
      </c>
      <c r="AK210" s="392">
        <f>AK202</f>
        <v/>
      </c>
      <c r="AL210" s="392">
        <f>AL202</f>
        <v/>
      </c>
      <c r="AM210" s="392">
        <f>AM202</f>
        <v/>
      </c>
      <c r="AN210" s="392">
        <f>AN202</f>
        <v/>
      </c>
      <c r="AO210" s="392">
        <f>AO202</f>
        <v/>
      </c>
      <c r="AP210" s="392">
        <f>AP202</f>
        <v/>
      </c>
      <c r="AQ210" s="392">
        <f>AQ202</f>
        <v/>
      </c>
      <c r="AR210" s="392">
        <f>AR202</f>
        <v/>
      </c>
      <c r="AS210" s="392">
        <f>AS202</f>
        <v/>
      </c>
      <c r="AT210" s="392">
        <f>AT202</f>
        <v/>
      </c>
      <c r="AU210" s="392">
        <f>AU202</f>
        <v/>
      </c>
      <c r="AV210" s="392">
        <f>AV202</f>
        <v/>
      </c>
      <c r="AW210" s="392">
        <f>AW202</f>
        <v/>
      </c>
      <c r="AX210" s="392">
        <f>AX202</f>
        <v/>
      </c>
      <c r="AY210" s="392">
        <f>AY202</f>
        <v/>
      </c>
      <c r="AZ210" s="392">
        <f>AZ202</f>
        <v/>
      </c>
      <c r="BA210" s="392">
        <f>BA202</f>
        <v/>
      </c>
      <c r="BB210" s="392">
        <f>BB202</f>
        <v/>
      </c>
      <c r="BC210" s="392">
        <f>BC202</f>
        <v/>
      </c>
      <c r="BD210" s="392">
        <f>BD202</f>
        <v/>
      </c>
      <c r="BE210" s="392">
        <f>BE202</f>
        <v/>
      </c>
      <c r="BF210" s="392">
        <f>BF202</f>
        <v/>
      </c>
      <c r="BG210" s="392">
        <f>BG202</f>
        <v/>
      </c>
      <c r="BH210" s="392">
        <f>BH202</f>
        <v/>
      </c>
      <c r="BI210" s="392">
        <f>BI202</f>
        <v/>
      </c>
      <c r="BJ210" s="392">
        <f>BJ202</f>
        <v/>
      </c>
      <c r="BK210" s="392">
        <f>BK202</f>
        <v/>
      </c>
      <c r="BL210" s="392">
        <f>BL202</f>
        <v/>
      </c>
      <c r="BM210" s="392">
        <f>BM202</f>
        <v/>
      </c>
      <c r="BN210" s="392">
        <f>BN202</f>
        <v/>
      </c>
      <c r="BO210" s="392">
        <f>BO202</f>
        <v/>
      </c>
      <c r="BP210" s="392">
        <f>BP202</f>
        <v/>
      </c>
      <c r="BQ210" s="392">
        <f>BQ202</f>
        <v/>
      </c>
      <c r="BR210" s="392">
        <f>BR202</f>
        <v/>
      </c>
      <c r="BS210" s="392">
        <f>BS202</f>
        <v/>
      </c>
      <c r="BT210" s="392">
        <f>BT202</f>
        <v/>
      </c>
      <c r="BU210" s="392">
        <f>BU202</f>
        <v/>
      </c>
      <c r="BV210" s="392">
        <f>BV202</f>
        <v/>
      </c>
      <c r="BW210" s="392">
        <f>BW202</f>
        <v/>
      </c>
      <c r="BX210" s="392">
        <f>BX202</f>
        <v/>
      </c>
      <c r="BY210" s="392">
        <f>BY202</f>
        <v/>
      </c>
      <c r="BZ210" s="392">
        <f>BZ202</f>
        <v/>
      </c>
      <c r="CA210" s="392">
        <f>CA202</f>
        <v/>
      </c>
      <c r="CB210" s="392">
        <f>CB202</f>
        <v/>
      </c>
      <c r="CC210" s="392">
        <f>CC202</f>
        <v/>
      </c>
      <c r="CD210" s="392">
        <f>CD202</f>
        <v/>
      </c>
      <c r="CE210" s="392">
        <f>CE202</f>
        <v/>
      </c>
      <c r="CF210" s="392">
        <f>CF202</f>
        <v/>
      </c>
      <c r="CG210" s="392">
        <f>CG202</f>
        <v/>
      </c>
      <c r="CH210" s="392">
        <f>CH202</f>
        <v/>
      </c>
      <c r="CI210" s="392">
        <f>CI202</f>
        <v/>
      </c>
      <c r="CJ210" s="392">
        <f>CJ202</f>
        <v/>
      </c>
      <c r="CK210" s="392">
        <f>CK202</f>
        <v/>
      </c>
      <c r="CL210" s="392">
        <f>CL202</f>
        <v/>
      </c>
      <c r="CM210" s="392">
        <f>CM202</f>
        <v/>
      </c>
      <c r="CN210" s="392">
        <f>CN202</f>
        <v/>
      </c>
      <c r="CO210" s="392">
        <f>CO202</f>
        <v/>
      </c>
      <c r="CP210" s="392">
        <f>CP202</f>
        <v/>
      </c>
      <c r="CQ210" s="392">
        <f>CQ202</f>
        <v/>
      </c>
      <c r="CR210" s="392">
        <f>CR202</f>
        <v/>
      </c>
      <c r="CS210" s="392">
        <f>CS202</f>
        <v/>
      </c>
      <c r="CT210" s="392">
        <f>CT202</f>
        <v/>
      </c>
      <c r="CU210" s="392">
        <f>CU202</f>
        <v/>
      </c>
      <c r="CV210" s="392">
        <f>CV202</f>
        <v/>
      </c>
      <c r="CW210" s="392">
        <f>CW202</f>
        <v/>
      </c>
      <c r="CX210" s="392">
        <f>CX202</f>
        <v/>
      </c>
      <c r="CY210" s="392">
        <f>CY202</f>
        <v/>
      </c>
      <c r="CZ210" s="392">
        <f>CZ202</f>
        <v/>
      </c>
      <c r="DA210" s="392">
        <f>DA202</f>
        <v/>
      </c>
      <c r="DB210" s="392">
        <f>DB202</f>
        <v/>
      </c>
      <c r="DC210" s="392">
        <f>DC202</f>
        <v/>
      </c>
      <c r="DD210" s="392">
        <f>DD202</f>
        <v/>
      </c>
      <c r="DE210" s="392">
        <f>DE202</f>
        <v/>
      </c>
    </row>
    <row r="211" ht="15" customFormat="1" customHeight="1" s="380">
      <c r="A211" s="421" t="inlineStr">
        <is>
          <t>Total Costs</t>
        </is>
      </c>
      <c r="B211" s="409">
        <f>B209+B210</f>
        <v/>
      </c>
      <c r="C211" s="409">
        <f>C209+C210</f>
        <v/>
      </c>
      <c r="D211" s="409">
        <f>D209+D210</f>
        <v/>
      </c>
      <c r="E211" s="409">
        <f>E209+E210</f>
        <v/>
      </c>
      <c r="F211" s="409">
        <f>F209+F210</f>
        <v/>
      </c>
      <c r="G211" s="409">
        <f>G209+G210</f>
        <v/>
      </c>
      <c r="H211" s="409">
        <f>H209+H210</f>
        <v/>
      </c>
      <c r="I211" s="409">
        <f>I209+I210</f>
        <v/>
      </c>
      <c r="J211" s="409">
        <f>J209+J210</f>
        <v/>
      </c>
      <c r="K211" s="409">
        <f>K209+K210</f>
        <v/>
      </c>
      <c r="L211" s="409">
        <f>L209+L210</f>
        <v/>
      </c>
      <c r="M211" s="409">
        <f>M209+M210</f>
        <v/>
      </c>
      <c r="N211" s="409">
        <f>N209+N210</f>
        <v/>
      </c>
      <c r="O211" s="409">
        <f>O209+O210</f>
        <v/>
      </c>
      <c r="P211" s="409">
        <f>P209+P210</f>
        <v/>
      </c>
      <c r="Q211" s="409">
        <f>Q209+Q210</f>
        <v/>
      </c>
      <c r="R211" s="409">
        <f>R209+R210</f>
        <v/>
      </c>
      <c r="S211" s="409">
        <f>S209+S210</f>
        <v/>
      </c>
      <c r="T211" s="409">
        <f>T209+T210</f>
        <v/>
      </c>
      <c r="U211" s="409">
        <f>U209+U210</f>
        <v/>
      </c>
      <c r="V211" s="409">
        <f>V209+V210</f>
        <v/>
      </c>
      <c r="W211" s="409">
        <f>W209+W210</f>
        <v/>
      </c>
      <c r="X211" s="409">
        <f>X209+X210</f>
        <v/>
      </c>
      <c r="Y211" s="409">
        <f>Y209+Y210</f>
        <v/>
      </c>
      <c r="Z211" s="409">
        <f>Z209+Z210</f>
        <v/>
      </c>
      <c r="AA211" s="409">
        <f>AA209+AA210</f>
        <v/>
      </c>
      <c r="AB211" s="409">
        <f>AB209+AB210</f>
        <v/>
      </c>
      <c r="AC211" s="409">
        <f>AC209+AC210</f>
        <v/>
      </c>
      <c r="AD211" s="409">
        <f>AD209+AD210</f>
        <v/>
      </c>
      <c r="AE211" s="409">
        <f>AE209+AE210</f>
        <v/>
      </c>
      <c r="AF211" s="409">
        <f>AF209+AF210</f>
        <v/>
      </c>
      <c r="AG211" s="409">
        <f>AG209+AG210</f>
        <v/>
      </c>
      <c r="AH211" s="409">
        <f>AH209+AH210</f>
        <v/>
      </c>
      <c r="AI211" s="409">
        <f>AI209+AI210</f>
        <v/>
      </c>
      <c r="AJ211" s="409">
        <f>AJ209+AJ210</f>
        <v/>
      </c>
      <c r="AK211" s="409">
        <f>AK209+AK210</f>
        <v/>
      </c>
      <c r="AL211" s="409">
        <f>AL209+AL210</f>
        <v/>
      </c>
      <c r="AM211" s="409">
        <f>AM209+AM210</f>
        <v/>
      </c>
      <c r="AN211" s="409">
        <f>AN209+AN210</f>
        <v/>
      </c>
      <c r="AO211" s="409">
        <f>AO209+AO210</f>
        <v/>
      </c>
      <c r="AP211" s="409">
        <f>AP209+AP210</f>
        <v/>
      </c>
      <c r="AQ211" s="409">
        <f>AQ209+AQ210</f>
        <v/>
      </c>
      <c r="AR211" s="409">
        <f>AR209+AR210</f>
        <v/>
      </c>
      <c r="AS211" s="409">
        <f>AS209+AS210</f>
        <v/>
      </c>
      <c r="AT211" s="409">
        <f>AT209+AT210</f>
        <v/>
      </c>
      <c r="AU211" s="409">
        <f>AU209+AU210</f>
        <v/>
      </c>
      <c r="AV211" s="409">
        <f>AV209+AV210</f>
        <v/>
      </c>
      <c r="AW211" s="409">
        <f>AW209+AW210</f>
        <v/>
      </c>
      <c r="AX211" s="409">
        <f>AX209+AX210</f>
        <v/>
      </c>
      <c r="AY211" s="409">
        <f>AY209+AY210</f>
        <v/>
      </c>
      <c r="AZ211" s="409">
        <f>AZ209+AZ210</f>
        <v/>
      </c>
      <c r="BA211" s="409">
        <f>BA209+BA210</f>
        <v/>
      </c>
      <c r="BB211" s="409">
        <f>BB209+BB210</f>
        <v/>
      </c>
      <c r="BC211" s="409">
        <f>BC209+BC210</f>
        <v/>
      </c>
      <c r="BD211" s="409">
        <f>BD209+BD210</f>
        <v/>
      </c>
      <c r="BE211" s="409">
        <f>BE209+BE210</f>
        <v/>
      </c>
      <c r="BF211" s="409">
        <f>BF209+BF210</f>
        <v/>
      </c>
      <c r="BG211" s="409">
        <f>BG209+BG210</f>
        <v/>
      </c>
      <c r="BH211" s="409">
        <f>BH209+BH210</f>
        <v/>
      </c>
      <c r="BI211" s="409">
        <f>BI209+BI210</f>
        <v/>
      </c>
      <c r="BJ211" s="409">
        <f>BJ209+BJ210</f>
        <v/>
      </c>
      <c r="BK211" s="409">
        <f>BK209+BK210</f>
        <v/>
      </c>
      <c r="BL211" s="409">
        <f>BL209+BL210</f>
        <v/>
      </c>
      <c r="BM211" s="409">
        <f>BM209+BM210</f>
        <v/>
      </c>
      <c r="BN211" s="409">
        <f>BN209+BN210</f>
        <v/>
      </c>
      <c r="BO211" s="409">
        <f>BO209+BO210</f>
        <v/>
      </c>
      <c r="BP211" s="409">
        <f>BP209+BP210</f>
        <v/>
      </c>
      <c r="BQ211" s="409">
        <f>BQ209+BQ210</f>
        <v/>
      </c>
      <c r="BR211" s="409">
        <f>BR209+BR210</f>
        <v/>
      </c>
      <c r="BS211" s="409">
        <f>BS209+BS210</f>
        <v/>
      </c>
      <c r="BT211" s="409">
        <f>BT209+BT210</f>
        <v/>
      </c>
      <c r="BU211" s="409">
        <f>BU209+BU210</f>
        <v/>
      </c>
      <c r="BV211" s="409">
        <f>BV209+BV210</f>
        <v/>
      </c>
      <c r="BW211" s="409">
        <f>BW209+BW210</f>
        <v/>
      </c>
      <c r="BX211" s="409">
        <f>BX209+BX210</f>
        <v/>
      </c>
      <c r="BY211" s="409">
        <f>BY209+BY210</f>
        <v/>
      </c>
      <c r="BZ211" s="409">
        <f>BZ209+BZ210</f>
        <v/>
      </c>
      <c r="CA211" s="409">
        <f>CA209+CA210</f>
        <v/>
      </c>
      <c r="CB211" s="409">
        <f>CB209+CB210</f>
        <v/>
      </c>
      <c r="CC211" s="409">
        <f>CC209+CC210</f>
        <v/>
      </c>
      <c r="CD211" s="409">
        <f>CD209+CD210</f>
        <v/>
      </c>
      <c r="CE211" s="409">
        <f>CE209+CE210</f>
        <v/>
      </c>
      <c r="CF211" s="409">
        <f>CF209+CF210</f>
        <v/>
      </c>
      <c r="CG211" s="409">
        <f>CG209+CG210</f>
        <v/>
      </c>
      <c r="CH211" s="409">
        <f>CH209+CH210</f>
        <v/>
      </c>
      <c r="CI211" s="409">
        <f>CI209+CI210</f>
        <v/>
      </c>
      <c r="CJ211" s="409">
        <f>CJ209+CJ210</f>
        <v/>
      </c>
      <c r="CK211" s="409">
        <f>CK209+CK210</f>
        <v/>
      </c>
      <c r="CL211" s="409">
        <f>CL209+CL210</f>
        <v/>
      </c>
      <c r="CM211" s="409">
        <f>CM209+CM210</f>
        <v/>
      </c>
      <c r="CN211" s="409">
        <f>CN209+CN210</f>
        <v/>
      </c>
      <c r="CO211" s="409">
        <f>CO209+CO210</f>
        <v/>
      </c>
      <c r="CP211" s="409">
        <f>CP209+CP210</f>
        <v/>
      </c>
      <c r="CQ211" s="409">
        <f>CQ209+CQ210</f>
        <v/>
      </c>
      <c r="CR211" s="409">
        <f>CR209+CR210</f>
        <v/>
      </c>
      <c r="CS211" s="409">
        <f>CS209+CS210</f>
        <v/>
      </c>
      <c r="CT211" s="409">
        <f>CT209+CT210</f>
        <v/>
      </c>
      <c r="CU211" s="409">
        <f>CU209+CU210</f>
        <v/>
      </c>
      <c r="CV211" s="409">
        <f>CV209+CV210</f>
        <v/>
      </c>
      <c r="CW211" s="409">
        <f>CW209+CW210</f>
        <v/>
      </c>
      <c r="CX211" s="409">
        <f>CX209+CX210</f>
        <v/>
      </c>
      <c r="CY211" s="409">
        <f>CY209+CY210</f>
        <v/>
      </c>
      <c r="CZ211" s="409">
        <f>CZ209+CZ210</f>
        <v/>
      </c>
      <c r="DA211" s="409">
        <f>DA209+DA210</f>
        <v/>
      </c>
      <c r="DB211" s="409">
        <f>DB209+DB210</f>
        <v/>
      </c>
      <c r="DC211" s="409">
        <f>DC209+DC210</f>
        <v/>
      </c>
      <c r="DD211" s="409">
        <f>DD209+DD210</f>
        <v/>
      </c>
      <c r="DE211" s="409">
        <f>DE209+DE210</f>
        <v/>
      </c>
    </row>
    <row r="212" ht="19.5" customFormat="1" customHeight="1" s="380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Format="1" customHeight="1" s="380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Format="1" customHeight="1" s="380">
      <c r="A214" s="382" t="n"/>
      <c r="B214" s="382" t="n"/>
      <c r="C214" s="382" t="n"/>
      <c r="D214" s="382" t="n"/>
      <c r="E214" s="382" t="n"/>
      <c r="F214" s="382" t="n"/>
      <c r="G214" s="382" t="n"/>
      <c r="H214" s="382" t="n"/>
      <c r="I214" s="382" t="n"/>
      <c r="J214" s="382" t="n"/>
      <c r="K214" s="382" t="n"/>
      <c r="L214" s="382" t="n"/>
      <c r="M214" s="382" t="n"/>
      <c r="N214" s="382" t="n"/>
      <c r="O214" s="382" t="n"/>
      <c r="P214" s="382" t="n"/>
      <c r="Q214" s="382" t="n"/>
      <c r="R214" s="382" t="n"/>
      <c r="S214" s="382" t="n"/>
      <c r="T214" s="382" t="n"/>
      <c r="U214" s="382" t="n"/>
      <c r="V214" s="382" t="n"/>
      <c r="W214" s="382" t="n"/>
      <c r="X214" s="382" t="n"/>
      <c r="Y214" s="382" t="n"/>
      <c r="Z214" s="382" t="n"/>
      <c r="AA214" s="382" t="n"/>
      <c r="AB214" s="382" t="n"/>
      <c r="AC214" s="382" t="n"/>
      <c r="AD214" s="382" t="n"/>
      <c r="AE214" s="382" t="n"/>
      <c r="AF214" s="382" t="n"/>
      <c r="AG214" s="382" t="n"/>
      <c r="AH214" s="382" t="n"/>
      <c r="AI214" s="382" t="n"/>
      <c r="AJ214" s="382" t="n"/>
      <c r="AK214" s="382" t="n"/>
      <c r="AL214" s="382" t="n"/>
      <c r="AM214" s="382" t="n"/>
      <c r="AN214" s="382" t="n"/>
      <c r="AO214" s="382" t="n"/>
      <c r="AP214" s="382" t="n"/>
      <c r="AQ214" s="382" t="n"/>
      <c r="AR214" s="382" t="n"/>
      <c r="AS214" s="382" t="n"/>
      <c r="AT214" s="382" t="n"/>
      <c r="AU214" s="382" t="n"/>
      <c r="AV214" s="382" t="n"/>
      <c r="AW214" s="382" t="n"/>
      <c r="AX214" s="382" t="n"/>
      <c r="AY214" s="382" t="n"/>
      <c r="AZ214" s="382" t="n"/>
      <c r="BA214" s="382" t="n"/>
      <c r="BB214" s="382" t="n"/>
      <c r="BC214" s="382" t="n"/>
      <c r="BD214" s="382" t="n"/>
      <c r="BE214" s="382" t="n"/>
      <c r="BF214" s="382" t="n"/>
      <c r="BG214" s="382" t="n"/>
      <c r="BH214" s="382" t="n"/>
      <c r="BI214" s="382" t="n"/>
      <c r="BJ214" s="382" t="n"/>
      <c r="BK214" s="382" t="n"/>
      <c r="BL214" s="382" t="n"/>
      <c r="BM214" s="382" t="n"/>
      <c r="BN214" s="382" t="n"/>
      <c r="BO214" s="382" t="n"/>
      <c r="BP214" s="382" t="n"/>
      <c r="BQ214" s="382" t="n"/>
      <c r="BR214" s="382" t="n"/>
      <c r="BS214" s="382" t="n"/>
      <c r="BT214" s="382" t="n"/>
      <c r="BU214" s="382" t="n"/>
      <c r="BV214" s="382" t="n"/>
      <c r="BW214" s="382" t="n"/>
      <c r="BX214" s="382" t="n"/>
      <c r="BY214" s="382" t="n"/>
      <c r="BZ214" s="382" t="n"/>
      <c r="CA214" s="382" t="n"/>
      <c r="CB214" s="382" t="n"/>
      <c r="CC214" s="382" t="n"/>
      <c r="CD214" s="382" t="n"/>
      <c r="CE214" s="382" t="n"/>
      <c r="CF214" s="382" t="n"/>
      <c r="CG214" s="382" t="n"/>
      <c r="CH214" s="382" t="n"/>
      <c r="CI214" s="382" t="n"/>
      <c r="CJ214" s="382" t="n"/>
      <c r="CK214" s="382" t="n"/>
      <c r="CL214" s="382" t="n"/>
      <c r="CM214" s="382" t="n"/>
      <c r="CN214" s="382" t="n"/>
      <c r="CO214" s="382" t="n"/>
      <c r="CP214" s="382" t="n"/>
      <c r="CQ214" s="382" t="n"/>
      <c r="CR214" s="382" t="n"/>
      <c r="CS214" s="382" t="n"/>
      <c r="CT214" s="382" t="n"/>
      <c r="CU214" s="382" t="n"/>
      <c r="CV214" s="382" t="n"/>
      <c r="CW214" s="382" t="n"/>
      <c r="CX214" s="382" t="n"/>
      <c r="CY214" s="382" t="n"/>
      <c r="CZ214" s="382" t="n"/>
      <c r="DA214" s="382" t="n"/>
      <c r="DB214" s="382" t="n"/>
      <c r="DC214" s="382" t="n"/>
      <c r="DD214" s="382" t="n"/>
      <c r="DE214" s="382" t="n"/>
    </row>
    <row r="215" ht="15" customFormat="1" customHeight="1" s="380">
      <c r="A215" s="420" t="inlineStr">
        <is>
          <t>Consolidated NI — Over/(Under) Budget (Nov 2025)</t>
        </is>
      </c>
      <c r="B215" s="392">
        <f>ROUND(B212-(Budget!C57+Budget!C114),2)</f>
        <v/>
      </c>
      <c r="C215" s="392">
        <f>ROUND(C212-(Budget!D57+Budget!D114),2)</f>
        <v/>
      </c>
      <c r="D215" s="392">
        <f>ROUND(D212-(Budget!E57+Budget!E114),2)</f>
        <v/>
      </c>
      <c r="E215" s="392">
        <f>ROUND(E212-(Budget!F57+Budget!F114),2)</f>
        <v/>
      </c>
      <c r="F215" s="392">
        <f>ROUND(F212-(Budget!G57+Budget!G114),2)</f>
        <v/>
      </c>
      <c r="G215" s="392">
        <f>ROUND(G212-(Budget!H57+Budget!H114),2)</f>
        <v/>
      </c>
      <c r="H215" s="392">
        <f>ROUND(H212-(Budget!I57+Budget!I114),2)</f>
        <v/>
      </c>
      <c r="I215" s="392">
        <f>ROUND(I212-(Budget!J57+Budget!J114),2)</f>
        <v/>
      </c>
      <c r="J215" s="392">
        <f>ROUND(J212-(Budget!K57+Budget!K114),2)</f>
        <v/>
      </c>
      <c r="K215" s="392">
        <f>ROUND(K212-(Budget!L57+Budget!L114),2)</f>
        <v/>
      </c>
      <c r="L215" s="392">
        <f>ROUND(L212-(Budget!M57+Budget!M114),2)</f>
        <v/>
      </c>
      <c r="M215" s="392">
        <f>ROUND(M212-(Budget!N57+Budget!N114),2)</f>
        <v/>
      </c>
      <c r="N215" s="392">
        <f>ROUND(N212-(Budget!O57+Budget!O114),2)</f>
        <v/>
      </c>
      <c r="O215" s="392">
        <f>ROUND(O212-(Budget!P57+Budget!P114),2)</f>
        <v/>
      </c>
      <c r="P215" s="392">
        <f>ROUND(P212-(Budget!Q57+Budget!Q114),2)</f>
        <v/>
      </c>
      <c r="Q215" s="392">
        <f>ROUND(Q212-(Budget!R57+Budget!R114),2)</f>
        <v/>
      </c>
      <c r="R215" s="392">
        <f>ROUND(R212-(Budget!S57+Budget!S114),2)</f>
        <v/>
      </c>
      <c r="S215" s="392">
        <f>ROUND(S212-(Budget!T57+Budget!T114),2)</f>
        <v/>
      </c>
      <c r="T215" s="392">
        <f>ROUND(T212-(Budget!U57+Budget!U114),2)</f>
        <v/>
      </c>
      <c r="U215" s="392">
        <f>ROUND(U212-(Budget!V57+Budget!V114),2)</f>
        <v/>
      </c>
      <c r="V215" s="392">
        <f>ROUND(V212-(Budget!W57+Budget!W114),2)</f>
        <v/>
      </c>
      <c r="W215" s="392">
        <f>ROUND(W212-(Budget!X57+Budget!X114),2)</f>
        <v/>
      </c>
      <c r="X215" s="392">
        <f>ROUND(X212-(Budget!Y57+Budget!Y114),2)</f>
        <v/>
      </c>
      <c r="Y215" s="392">
        <f>ROUND(Y212-(Budget!Z57+Budget!Z114),2)</f>
        <v/>
      </c>
      <c r="Z215" s="392">
        <f>ROUND(Z212-(Budget!AA57+Budget!AA114),2)</f>
        <v/>
      </c>
      <c r="AA215" s="392">
        <f>ROUND(AA212-(Budget!AB57+Budget!AB114),2)</f>
        <v/>
      </c>
      <c r="AB215" s="392">
        <f>ROUND(AB212-(Budget!AC57+Budget!AC114),2)</f>
        <v/>
      </c>
      <c r="AC215" s="392">
        <f>ROUND(AC212-(Budget!AD57+Budget!AD114),2)</f>
        <v/>
      </c>
      <c r="AD215" s="392">
        <f>ROUND(AD212-(Budget!AE57+Budget!AE114),2)</f>
        <v/>
      </c>
      <c r="AE215" s="392">
        <f>ROUND(AE212-(Budget!AF57+Budget!AF114),2)</f>
        <v/>
      </c>
      <c r="AF215" s="392">
        <f>ROUND(AF212-(Budget!AG57+Budget!AG114),2)</f>
        <v/>
      </c>
      <c r="AG215" s="392">
        <f>ROUND(AG212-(Budget!AH57+Budget!AH114),2)</f>
        <v/>
      </c>
      <c r="AH215" s="392">
        <f>ROUND(AH212-(Budget!AI57+Budget!AI114),2)</f>
        <v/>
      </c>
      <c r="AI215" s="392">
        <f>ROUND(AI212-(Budget!AJ57+Budget!AJ114),2)</f>
        <v/>
      </c>
      <c r="AJ215" s="392">
        <f>ROUND(AJ212-(Budget!AK57+Budget!AK114),2)</f>
        <v/>
      </c>
      <c r="AK215" s="392">
        <f>ROUND(AK212-(Budget!AL57+Budget!AL114),2)</f>
        <v/>
      </c>
      <c r="AL215" s="392">
        <f>ROUND(AL212-(Budget!AM57+Budget!AM114),2)</f>
        <v/>
      </c>
      <c r="AM215" s="392">
        <f>ROUND(AM212-(Budget!AN57+Budget!AN114),2)</f>
        <v/>
      </c>
      <c r="AN215" s="392">
        <f>ROUND(AN212-(Budget!AO57+Budget!AO114),2)</f>
        <v/>
      </c>
      <c r="AO215" s="392">
        <f>ROUND(AO212-(Budget!AP57+Budget!AP114),2)</f>
        <v/>
      </c>
      <c r="AP215" s="392">
        <f>ROUND(AP212-(Budget!AQ57+Budget!AQ114),2)</f>
        <v/>
      </c>
      <c r="AQ215" s="392">
        <f>ROUND(AQ212-(Budget!AR57+Budget!AR114),2)</f>
        <v/>
      </c>
      <c r="AR215" s="392">
        <f>ROUND(AR212-(Budget!AS57+Budget!AS114),2)</f>
        <v/>
      </c>
      <c r="AS215" s="392">
        <f>ROUND(AS212-(Budget!AT57+Budget!AT114),2)</f>
        <v/>
      </c>
      <c r="AT215" s="392">
        <f>ROUND(AT212-(Budget!AU57+Budget!AU114),2)</f>
        <v/>
      </c>
      <c r="AU215" s="392">
        <f>ROUND(AU212-(Budget!AV57+Budget!AV114),2)</f>
        <v/>
      </c>
      <c r="AV215" s="392">
        <f>ROUND(AV212-(Budget!AW57+Budget!AW114),2)</f>
        <v/>
      </c>
      <c r="AW215" s="392">
        <f>ROUND(AW212-(Budget!AX57+Budget!AX114),2)</f>
        <v/>
      </c>
      <c r="AX215" s="392">
        <f>ROUND(AX212-(Budget!AY57+Budget!AY114),2)</f>
        <v/>
      </c>
      <c r="AY215" s="392">
        <f>ROUND(AY212-(Budget!AZ57+Budget!AZ114),2)</f>
        <v/>
      </c>
      <c r="AZ215" s="392">
        <f>ROUND(AZ212-(Budget!BA57+Budget!BA114),2)</f>
        <v/>
      </c>
      <c r="BA215" s="392">
        <f>ROUND(BA212-(Budget!BB57+Budget!BB114),2)</f>
        <v/>
      </c>
      <c r="BB215" s="392">
        <f>ROUND(BB212-(Budget!BC57+Budget!BC114),2)</f>
        <v/>
      </c>
      <c r="BC215" s="392">
        <f>ROUND(BC212-(Budget!BD57+Budget!BD114),2)</f>
        <v/>
      </c>
      <c r="BD215" s="392">
        <f>ROUND(BD212-(Budget!BE57+Budget!BE114),2)</f>
        <v/>
      </c>
      <c r="BE215" s="392">
        <f>ROUND(BE212-(Budget!BF57+Budget!BF114),2)</f>
        <v/>
      </c>
      <c r="BF215" s="392">
        <f>ROUND(BF212-(Budget!BG57+Budget!BG114),2)</f>
        <v/>
      </c>
      <c r="BG215" s="392">
        <f>ROUND(BG212-(Budget!BH57+Budget!BH114),2)</f>
        <v/>
      </c>
      <c r="BH215" s="392">
        <f>ROUND(BH212-(Budget!BI57+Budget!BI114),2)</f>
        <v/>
      </c>
      <c r="BI215" s="392">
        <f>ROUND(BI212-(Budget!BJ57+Budget!BJ114),2)</f>
        <v/>
      </c>
      <c r="BJ215" s="392">
        <f>ROUND(BJ212-(Budget!BK57+Budget!BK114),2)</f>
        <v/>
      </c>
      <c r="BK215" s="392">
        <f>ROUND(BK212-(Budget!BL57+Budget!BL114),2)</f>
        <v/>
      </c>
      <c r="BL215" s="392">
        <f>ROUND(BL212-(Budget!BM57+Budget!BM114),2)</f>
        <v/>
      </c>
      <c r="BM215" s="392">
        <f>ROUND(BM212-(Budget!BN57+Budget!BN114),2)</f>
        <v/>
      </c>
      <c r="BN215" s="392">
        <f>ROUND(BN212-(Budget!BO57+Budget!BO114),2)</f>
        <v/>
      </c>
      <c r="BO215" s="392">
        <f>ROUND(BO212-(Budget!BP57+Budget!BP114),2)</f>
        <v/>
      </c>
      <c r="BP215" s="392">
        <f>ROUND(BP212-(Budget!BQ57+Budget!BQ114),2)</f>
        <v/>
      </c>
      <c r="BQ215" s="392">
        <f>ROUND(BQ212-(Budget!BR57+Budget!BR114),2)</f>
        <v/>
      </c>
      <c r="BR215" s="392">
        <f>ROUND(BR212-(Budget!BS57+Budget!BS114),2)</f>
        <v/>
      </c>
      <c r="BS215" s="392">
        <f>ROUND(BS212-(Budget!BT57+Budget!BT114),2)</f>
        <v/>
      </c>
      <c r="BT215" s="392">
        <f>ROUND(BT212-(Budget!BU57+Budget!BU114),2)</f>
        <v/>
      </c>
      <c r="BU215" s="392">
        <f>ROUND(BU212-(Budget!BV57+Budget!BV114),2)</f>
        <v/>
      </c>
      <c r="BV215" s="392">
        <f>ROUND(BV212-(Budget!BW57+Budget!BW114),2)</f>
        <v/>
      </c>
      <c r="BW215" s="392">
        <f>ROUND(BW212-(Budget!BX57+Budget!BX114),2)</f>
        <v/>
      </c>
      <c r="BX215" s="392">
        <f>ROUND(BX212-(Budget!BY57+Budget!BY114),2)</f>
        <v/>
      </c>
      <c r="BY215" s="392">
        <f>ROUND(BY212-(Budget!BZ57+Budget!BZ114),2)</f>
        <v/>
      </c>
      <c r="BZ215" s="392">
        <f>ROUND(BZ212-(Budget!CA57+Budget!CA114),2)</f>
        <v/>
      </c>
      <c r="CA215" s="392">
        <f>ROUND(CA212-(Budget!CB57+Budget!CB114),2)</f>
        <v/>
      </c>
      <c r="CB215" s="392">
        <f>ROUND(CB212-(Budget!CC57+Budget!CC114),2)</f>
        <v/>
      </c>
      <c r="CC215" s="392">
        <f>ROUND(CC212-(Budget!CD57+Budget!CD114),2)</f>
        <v/>
      </c>
      <c r="CD215" s="392">
        <f>ROUND(CD212-(Budget!CE57+Budget!CE114),2)</f>
        <v/>
      </c>
      <c r="CE215" s="392">
        <f>ROUND(CE212-(Budget!CF57+Budget!CF114),2)</f>
        <v/>
      </c>
      <c r="CF215" s="392">
        <f>ROUND(CF212-(Budget!CG57+Budget!CG114),2)</f>
        <v/>
      </c>
      <c r="CG215" s="392">
        <f>ROUND(CG212-(Budget!CH57+Budget!CH114),2)</f>
        <v/>
      </c>
      <c r="CH215" s="392">
        <f>ROUND(CH212-(Budget!CI57+Budget!CI114),2)</f>
        <v/>
      </c>
      <c r="CI215" s="392">
        <f>ROUND(CI212-(Budget!CJ57+Budget!CJ114),2)</f>
        <v/>
      </c>
      <c r="CJ215" s="392">
        <f>ROUND(CJ212-(Budget!CK57+Budget!CK114),2)</f>
        <v/>
      </c>
      <c r="CK215" s="392">
        <f>ROUND(CK212-(Budget!CL57+Budget!CL114),2)</f>
        <v/>
      </c>
      <c r="CL215" s="392">
        <f>ROUND(CL212-(Budget!CM57+Budget!CM114),2)</f>
        <v/>
      </c>
      <c r="CM215" s="392">
        <f>ROUND(CM212-(Budget!CN57+Budget!CN114),2)</f>
        <v/>
      </c>
      <c r="CN215" s="392">
        <f>ROUND(CN212-(Budget!CO57+Budget!CO114),2)</f>
        <v/>
      </c>
      <c r="CO215" s="392">
        <f>ROUND(CO212-(Budget!CP57+Budget!CP114),2)</f>
        <v/>
      </c>
      <c r="CP215" s="392">
        <f>ROUND(CP212-(Budget!CQ57+Budget!CQ114),2)</f>
        <v/>
      </c>
      <c r="CQ215" s="392">
        <f>ROUND(CQ212-(Budget!CR57+Budget!CR114),2)</f>
        <v/>
      </c>
      <c r="CR215" s="392">
        <f>ROUND(CR212-(Budget!CS57+Budget!CS114),2)</f>
        <v/>
      </c>
      <c r="CS215" s="392">
        <f>ROUND(CS212-(Budget!CT57+Budget!CT114),2)</f>
        <v/>
      </c>
      <c r="CT215" s="392">
        <f>ROUND(CT212-(Budget!CU57+Budget!CU114),2)</f>
        <v/>
      </c>
      <c r="CU215" s="392">
        <f>ROUND(CU212-(Budget!CV57+Budget!CV114),2)</f>
        <v/>
      </c>
      <c r="CV215" s="392">
        <f>ROUND(CV212-(Budget!CW57+Budget!CW114),2)</f>
        <v/>
      </c>
      <c r="CW215" s="392">
        <f>ROUND(CW212-(Budget!CX57+Budget!CX114),2)</f>
        <v/>
      </c>
      <c r="CX215" s="392">
        <f>ROUND(CX212-(Budget!CY57+Budget!CY114),2)</f>
        <v/>
      </c>
      <c r="CY215" s="392">
        <f>ROUND(CY212-(Budget!CZ57+Budget!CZ114),2)</f>
        <v/>
      </c>
      <c r="CZ215" s="392">
        <f>ROUND(CZ212-(Budget!DA57+Budget!DA114),2)</f>
        <v/>
      </c>
      <c r="DA215" s="392">
        <f>ROUND(DA212-(Budget!DB57+Budget!DB114),2)</f>
        <v/>
      </c>
      <c r="DB215" s="392">
        <f>ROUND(DB212-(Budget!DC57+Budget!DC114),2)</f>
        <v/>
      </c>
      <c r="DC215" s="392">
        <f>ROUND(DC212-(Budget!DD57+Budget!DD114),2)</f>
        <v/>
      </c>
      <c r="DD215" s="392">
        <f>ROUND(DD212-(Budget!DE57+Budget!DE114),2)</f>
        <v/>
      </c>
      <c r="DE215" s="392">
        <f>ROUND(DE212-(Budget!DF57+Budget!DF114),2)</f>
        <v/>
      </c>
    </row>
    <row r="216" ht="15" customFormat="1" customHeight="1" s="380">
      <c r="A216" s="382" t="n"/>
      <c r="B216" s="382" t="n"/>
      <c r="C216" s="382" t="n"/>
      <c r="D216" s="382" t="n"/>
      <c r="E216" s="382" t="n"/>
      <c r="F216" s="382" t="n"/>
      <c r="G216" s="382" t="n"/>
      <c r="H216" s="382" t="n"/>
      <c r="I216" s="382" t="n"/>
      <c r="J216" s="382" t="n"/>
      <c r="K216" s="382" t="n"/>
      <c r="L216" s="382" t="n"/>
      <c r="M216" s="382" t="n"/>
      <c r="N216" s="382" t="n"/>
      <c r="O216" s="382" t="n"/>
      <c r="P216" s="382" t="n"/>
      <c r="Q216" s="382" t="n"/>
      <c r="R216" s="382" t="n"/>
      <c r="S216" s="382" t="n"/>
      <c r="T216" s="382" t="n"/>
      <c r="U216" s="382" t="n"/>
      <c r="V216" s="382" t="n"/>
      <c r="W216" s="382" t="n"/>
      <c r="X216" s="382" t="n"/>
      <c r="Y216" s="382" t="n"/>
      <c r="Z216" s="382" t="n"/>
      <c r="AA216" s="382" t="n"/>
      <c r="AB216" s="382" t="n"/>
      <c r="AC216" s="382" t="n"/>
      <c r="AD216" s="382" t="n"/>
      <c r="AE216" s="382" t="n"/>
      <c r="AF216" s="382" t="n"/>
      <c r="AG216" s="382" t="n"/>
      <c r="AH216" s="382" t="n"/>
      <c r="AI216" s="382" t="n"/>
      <c r="AJ216" s="382" t="n"/>
      <c r="AK216" s="382" t="n"/>
      <c r="AL216" s="382" t="n"/>
      <c r="AM216" s="382" t="n"/>
      <c r="AN216" s="382" t="n"/>
      <c r="AO216" s="382" t="n"/>
      <c r="AP216" s="382" t="n"/>
      <c r="AQ216" s="382" t="n"/>
      <c r="AR216" s="382" t="n"/>
      <c r="AS216" s="382" t="n"/>
      <c r="AT216" s="382" t="n"/>
      <c r="AU216" s="382" t="n"/>
      <c r="AV216" s="382" t="n"/>
      <c r="AW216" s="382" t="n"/>
      <c r="AX216" s="382" t="n"/>
      <c r="AY216" s="382" t="n"/>
      <c r="AZ216" s="382" t="n"/>
      <c r="BA216" s="382" t="n"/>
      <c r="BB216" s="382" t="n"/>
      <c r="BC216" s="382" t="n"/>
      <c r="BD216" s="382" t="n"/>
      <c r="BE216" s="382" t="n"/>
      <c r="BF216" s="382" t="n"/>
      <c r="BG216" s="382" t="n"/>
      <c r="BH216" s="382" t="n"/>
      <c r="BI216" s="382" t="n"/>
      <c r="BJ216" s="382" t="n"/>
      <c r="BK216" s="382" t="n"/>
      <c r="BL216" s="382" t="n"/>
      <c r="BM216" s="382" t="n"/>
      <c r="BN216" s="382" t="n"/>
      <c r="BO216" s="382" t="n"/>
      <c r="BP216" s="382" t="n"/>
      <c r="BQ216" s="382" t="n"/>
      <c r="BR216" s="382" t="n"/>
      <c r="BS216" s="382" t="n"/>
      <c r="BT216" s="382" t="n"/>
      <c r="BU216" s="382" t="n"/>
      <c r="BV216" s="382" t="n"/>
      <c r="BW216" s="382" t="n"/>
      <c r="BX216" s="382" t="n"/>
      <c r="BY216" s="382" t="n"/>
      <c r="BZ216" s="382" t="n"/>
      <c r="CA216" s="382" t="n"/>
      <c r="CB216" s="382" t="n"/>
      <c r="CC216" s="382" t="n"/>
      <c r="CD216" s="382" t="n"/>
      <c r="CE216" s="382" t="n"/>
      <c r="CF216" s="382" t="n"/>
      <c r="CG216" s="382" t="n"/>
      <c r="CH216" s="382" t="n"/>
      <c r="CI216" s="382" t="n"/>
      <c r="CJ216" s="382" t="n"/>
      <c r="CK216" s="382" t="n"/>
      <c r="CL216" s="382" t="n"/>
      <c r="CM216" s="382" t="n"/>
      <c r="CN216" s="382" t="n"/>
      <c r="CO216" s="382" t="n"/>
      <c r="CP216" s="382" t="n"/>
      <c r="CQ216" s="382" t="n"/>
      <c r="CR216" s="382" t="n"/>
      <c r="CS216" s="382" t="n"/>
      <c r="CT216" s="382" t="n"/>
      <c r="CU216" s="382" t="n"/>
      <c r="CV216" s="382" t="n"/>
      <c r="CW216" s="382" t="n"/>
      <c r="CX216" s="382" t="n"/>
      <c r="CY216" s="382" t="n"/>
      <c r="CZ216" s="382" t="n"/>
      <c r="DA216" s="382" t="n"/>
      <c r="DB216" s="382" t="n"/>
      <c r="DC216" s="382" t="n"/>
      <c r="DD216" s="382" t="n"/>
      <c r="DE216" s="382" t="n"/>
    </row>
    <row r="217" ht="15" customFormat="1" customHeight="1" s="380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Format="1" customHeight="1" s="380">
      <c r="A218" s="397" t="inlineStr">
        <is>
          <t>Beginning Balance</t>
        </is>
      </c>
      <c r="B218" s="392" t="n"/>
      <c r="C218" s="392" t="n"/>
      <c r="D218" s="392" t="n"/>
      <c r="E218" s="392">
        <f>Assumptions!$B$33</f>
        <v/>
      </c>
      <c r="F218" s="392">
        <f>E221</f>
        <v/>
      </c>
      <c r="G218" s="392">
        <f>F221</f>
        <v/>
      </c>
      <c r="H218" s="392">
        <f>G221</f>
        <v/>
      </c>
      <c r="I218" s="392">
        <f>H221</f>
        <v/>
      </c>
      <c r="J218" s="392">
        <f>I221</f>
        <v/>
      </c>
      <c r="K218" s="392">
        <f>J221</f>
        <v/>
      </c>
      <c r="L218" s="392">
        <f>K221</f>
        <v/>
      </c>
      <c r="M218" s="392">
        <f>L221</f>
        <v/>
      </c>
      <c r="N218" s="392">
        <f>M221</f>
        <v/>
      </c>
      <c r="O218" s="392">
        <f>N221</f>
        <v/>
      </c>
      <c r="P218" s="392">
        <f>O221</f>
        <v/>
      </c>
      <c r="Q218" s="392">
        <f>P221</f>
        <v/>
      </c>
      <c r="R218" s="392">
        <f>Q221</f>
        <v/>
      </c>
      <c r="S218" s="392">
        <f>R221</f>
        <v/>
      </c>
      <c r="T218" s="392">
        <f>S221</f>
        <v/>
      </c>
      <c r="U218" s="392">
        <f>T221</f>
        <v/>
      </c>
      <c r="V218" s="392">
        <f>U221</f>
        <v/>
      </c>
      <c r="W218" s="392">
        <f>V221</f>
        <v/>
      </c>
      <c r="X218" s="392">
        <f>W221</f>
        <v/>
      </c>
      <c r="Y218" s="392">
        <f>X221</f>
        <v/>
      </c>
      <c r="Z218" s="392">
        <f>Y221</f>
        <v/>
      </c>
      <c r="AA218" s="392">
        <f>Z221</f>
        <v/>
      </c>
      <c r="AB218" s="392">
        <f>AA221</f>
        <v/>
      </c>
      <c r="AC218" s="392">
        <f>AB221</f>
        <v/>
      </c>
      <c r="AD218" s="392">
        <f>AC221</f>
        <v/>
      </c>
      <c r="AE218" s="392">
        <f>AD221</f>
        <v/>
      </c>
      <c r="AF218" s="392">
        <f>AE221</f>
        <v/>
      </c>
      <c r="AG218" s="392">
        <f>AF221</f>
        <v/>
      </c>
      <c r="AH218" s="392">
        <f>AG221</f>
        <v/>
      </c>
      <c r="AI218" s="392">
        <f>AH221</f>
        <v/>
      </c>
      <c r="AJ218" s="392">
        <f>AI221</f>
        <v/>
      </c>
      <c r="AK218" s="392">
        <f>AJ221</f>
        <v/>
      </c>
      <c r="AL218" s="392">
        <f>AK221</f>
        <v/>
      </c>
      <c r="AM218" s="392">
        <f>AL221</f>
        <v/>
      </c>
      <c r="AN218" s="392">
        <f>AM221</f>
        <v/>
      </c>
      <c r="AO218" s="392">
        <f>AN221</f>
        <v/>
      </c>
      <c r="AP218" s="392">
        <f>AO221</f>
        <v/>
      </c>
      <c r="AQ218" s="392">
        <f>AP221</f>
        <v/>
      </c>
      <c r="AR218" s="392">
        <f>AQ221</f>
        <v/>
      </c>
      <c r="AS218" s="392">
        <f>AR221</f>
        <v/>
      </c>
      <c r="AT218" s="392">
        <f>AS221</f>
        <v/>
      </c>
      <c r="AU218" s="392">
        <f>AT221</f>
        <v/>
      </c>
      <c r="AV218" s="392">
        <f>AU221</f>
        <v/>
      </c>
      <c r="AW218" s="392">
        <f>AV221</f>
        <v/>
      </c>
      <c r="AX218" s="392">
        <f>AW221</f>
        <v/>
      </c>
      <c r="AY218" s="392">
        <f>AX221</f>
        <v/>
      </c>
      <c r="AZ218" s="392">
        <f>AY221</f>
        <v/>
      </c>
      <c r="BA218" s="392">
        <f>AZ221</f>
        <v/>
      </c>
      <c r="BB218" s="392">
        <f>BA221</f>
        <v/>
      </c>
      <c r="BC218" s="392">
        <f>BB221</f>
        <v/>
      </c>
      <c r="BD218" s="392">
        <f>BC221</f>
        <v/>
      </c>
      <c r="BE218" s="392">
        <f>BD221</f>
        <v/>
      </c>
      <c r="BF218" s="392">
        <f>BE221</f>
        <v/>
      </c>
      <c r="BG218" s="392">
        <f>BF221</f>
        <v/>
      </c>
      <c r="BH218" s="392">
        <f>BG221</f>
        <v/>
      </c>
      <c r="BI218" s="392">
        <f>BH221</f>
        <v/>
      </c>
      <c r="BJ218" s="392">
        <f>BI221</f>
        <v/>
      </c>
      <c r="BK218" s="392">
        <f>BJ221</f>
        <v/>
      </c>
      <c r="BL218" s="392">
        <f>BK221</f>
        <v/>
      </c>
      <c r="BM218" s="392">
        <f>BL221</f>
        <v/>
      </c>
      <c r="BN218" s="392">
        <f>BM221</f>
        <v/>
      </c>
      <c r="BO218" s="392">
        <f>BN221</f>
        <v/>
      </c>
      <c r="BP218" s="392">
        <f>BO221</f>
        <v/>
      </c>
      <c r="BQ218" s="392">
        <f>BP221</f>
        <v/>
      </c>
      <c r="BR218" s="392">
        <f>BQ221</f>
        <v/>
      </c>
      <c r="BS218" s="392">
        <f>BR221</f>
        <v/>
      </c>
      <c r="BT218" s="392">
        <f>BS221</f>
        <v/>
      </c>
      <c r="BU218" s="392">
        <f>BT221</f>
        <v/>
      </c>
      <c r="BV218" s="392">
        <f>BU221</f>
        <v/>
      </c>
      <c r="BW218" s="392">
        <f>BV221</f>
        <v/>
      </c>
      <c r="BX218" s="392">
        <f>BW221</f>
        <v/>
      </c>
      <c r="BY218" s="392">
        <f>BX221</f>
        <v/>
      </c>
      <c r="BZ218" s="392">
        <f>BY221</f>
        <v/>
      </c>
      <c r="CA218" s="392">
        <f>BZ221</f>
        <v/>
      </c>
      <c r="CB218" s="392">
        <f>CA221</f>
        <v/>
      </c>
      <c r="CC218" s="392">
        <f>CB221</f>
        <v/>
      </c>
      <c r="CD218" s="392">
        <f>CC221</f>
        <v/>
      </c>
      <c r="CE218" s="392">
        <f>CD221</f>
        <v/>
      </c>
      <c r="CF218" s="392">
        <f>CE221</f>
        <v/>
      </c>
      <c r="CG218" s="392">
        <f>CF221</f>
        <v/>
      </c>
      <c r="CH218" s="392">
        <f>CG221</f>
        <v/>
      </c>
      <c r="CI218" s="392">
        <f>CH221</f>
        <v/>
      </c>
      <c r="CJ218" s="392">
        <f>CI221</f>
        <v/>
      </c>
      <c r="CK218" s="392">
        <f>CJ221</f>
        <v/>
      </c>
      <c r="CL218" s="392">
        <f>CK221</f>
        <v/>
      </c>
      <c r="CM218" s="392">
        <f>CL221</f>
        <v/>
      </c>
      <c r="CN218" s="392">
        <f>CM221</f>
        <v/>
      </c>
      <c r="CO218" s="392">
        <f>CN221</f>
        <v/>
      </c>
      <c r="CP218" s="392">
        <f>CO221</f>
        <v/>
      </c>
      <c r="CQ218" s="392">
        <f>CP221</f>
        <v/>
      </c>
      <c r="CR218" s="392">
        <f>CQ221</f>
        <v/>
      </c>
      <c r="CS218" s="392">
        <f>CR221</f>
        <v/>
      </c>
      <c r="CT218" s="392">
        <f>CS221</f>
        <v/>
      </c>
      <c r="CU218" s="392">
        <f>CT221</f>
        <v/>
      </c>
      <c r="CV218" s="392">
        <f>CU221</f>
        <v/>
      </c>
      <c r="CW218" s="392">
        <f>CV221</f>
        <v/>
      </c>
      <c r="CX218" s="392">
        <f>CW221</f>
        <v/>
      </c>
      <c r="CY218" s="392">
        <f>CX221</f>
        <v/>
      </c>
      <c r="CZ218" s="392">
        <f>CY221</f>
        <v/>
      </c>
      <c r="DA218" s="392">
        <f>CZ221</f>
        <v/>
      </c>
      <c r="DB218" s="392">
        <f>DA221</f>
        <v/>
      </c>
      <c r="DC218" s="392">
        <f>DB221</f>
        <v/>
      </c>
      <c r="DD218" s="392">
        <f>DC221</f>
        <v/>
      </c>
      <c r="DE218" s="392">
        <f>DD221</f>
        <v/>
      </c>
    </row>
    <row r="219" ht="15" customFormat="1" customHeight="1" s="380">
      <c r="A219" s="397" t="inlineStr">
        <is>
          <t>Quarterly Interest (15% / 4)</t>
        </is>
      </c>
      <c r="B219" s="392" t="n"/>
      <c r="C219" s="392" t="n"/>
      <c r="D219" s="392" t="n"/>
      <c r="E219" s="392">
        <f>IF(AND(MOD(1,3)=0,E218&gt;0),E218*Assumptions!$B$35,0)</f>
        <v/>
      </c>
      <c r="F219" s="392">
        <f>IF(AND(MOD(2,3)=0,F218&gt;0),F218*Assumptions!$B$35,0)</f>
        <v/>
      </c>
      <c r="G219" s="392">
        <f>IF(AND(MOD(3,3)=0,G218&gt;0),G218*Assumptions!$B$35,0)</f>
        <v/>
      </c>
      <c r="H219" s="392">
        <f>IF(AND(MOD(4,3)=0,H218&gt;0),H218*Assumptions!$B$35,0)</f>
        <v/>
      </c>
      <c r="I219" s="392">
        <f>IF(AND(MOD(5,3)=0,I218&gt;0),I218*Assumptions!$B$35,0)</f>
        <v/>
      </c>
      <c r="J219" s="392">
        <f>IF(AND(MOD(6,3)=0,J218&gt;0),J218*Assumptions!$B$35,0)</f>
        <v/>
      </c>
      <c r="K219" s="392">
        <f>IF(AND(MOD(7,3)=0,K218&gt;0),K218*Assumptions!$B$35,0)</f>
        <v/>
      </c>
      <c r="L219" s="392">
        <f>IF(AND(MOD(8,3)=0,L218&gt;0),L218*Assumptions!$B$35,0)</f>
        <v/>
      </c>
      <c r="M219" s="392">
        <f>IF(AND(MOD(9,3)=0,M218&gt;0),M218*Assumptions!$B$35,0)</f>
        <v/>
      </c>
      <c r="N219" s="392">
        <f>IF(AND(MOD(10,3)=0,N218&gt;0),N218*Assumptions!$B$35,0)</f>
        <v/>
      </c>
      <c r="O219" s="392">
        <f>IF(AND(MOD(11,3)=0,O218&gt;0),O218*Assumptions!$B$35,0)</f>
        <v/>
      </c>
      <c r="P219" s="392">
        <f>IF(AND(MOD(12,3)=0,P218&gt;0),P218*Assumptions!$B$35,0)</f>
        <v/>
      </c>
      <c r="Q219" s="392">
        <f>IF(AND(MOD(13,3)=0,Q218&gt;0),Q218*Assumptions!$B$35,0)</f>
        <v/>
      </c>
      <c r="R219" s="392">
        <f>IF(AND(MOD(14,3)=0,R218&gt;0),R218*Assumptions!$B$35,0)</f>
        <v/>
      </c>
      <c r="S219" s="392">
        <f>IF(AND(MOD(15,3)=0,S218&gt;0),S218*Assumptions!$B$35,0)</f>
        <v/>
      </c>
      <c r="T219" s="392">
        <f>IF(AND(MOD(16,3)=0,T218&gt;0),T218*Assumptions!$B$35,0)</f>
        <v/>
      </c>
      <c r="U219" s="392">
        <f>IF(AND(MOD(17,3)=0,U218&gt;0),U218*Assumptions!$B$35,0)</f>
        <v/>
      </c>
      <c r="V219" s="392">
        <f>IF(AND(MOD(18,3)=0,V218&gt;0),V218*Assumptions!$B$35,0)</f>
        <v/>
      </c>
      <c r="W219" s="392">
        <f>IF(AND(MOD(19,3)=0,W218&gt;0),W218*Assumptions!$B$35,0)</f>
        <v/>
      </c>
      <c r="X219" s="392">
        <f>IF(AND(MOD(20,3)=0,X218&gt;0),X218*Assumptions!$B$35,0)</f>
        <v/>
      </c>
      <c r="Y219" s="392">
        <f>IF(AND(MOD(21,3)=0,Y218&gt;0),Y218*Assumptions!$B$35,0)</f>
        <v/>
      </c>
      <c r="Z219" s="392">
        <f>IF(AND(MOD(22,3)=0,Z218&gt;0),Z218*Assumptions!$B$35,0)</f>
        <v/>
      </c>
      <c r="AA219" s="392">
        <f>IF(AND(MOD(23,3)=0,AA218&gt;0),AA218*Assumptions!$B$35,0)</f>
        <v/>
      </c>
      <c r="AB219" s="392">
        <f>IF(AND(MOD(24,3)=0,AB218&gt;0),AB218*Assumptions!$B$35,0)</f>
        <v/>
      </c>
      <c r="AC219" s="392">
        <f>IF(AND(MOD(25,3)=0,AC218&gt;0),AC218*Assumptions!$B$35,0)</f>
        <v/>
      </c>
      <c r="AD219" s="392">
        <f>IF(AND(MOD(26,3)=0,AD218&gt;0),AD218*Assumptions!$B$35,0)</f>
        <v/>
      </c>
      <c r="AE219" s="392">
        <f>IF(AND(MOD(27,3)=0,AE218&gt;0),AE218*Assumptions!$B$35,0)</f>
        <v/>
      </c>
      <c r="AF219" s="392">
        <f>IF(AND(MOD(28,3)=0,AF218&gt;0),AF218*Assumptions!$B$35,0)</f>
        <v/>
      </c>
      <c r="AG219" s="392">
        <f>IF(AND(MOD(29,3)=0,AG218&gt;0),AG218*Assumptions!$B$35,0)</f>
        <v/>
      </c>
      <c r="AH219" s="392">
        <f>IF(AND(MOD(30,3)=0,AH218&gt;0),AH218*Assumptions!$B$35,0)</f>
        <v/>
      </c>
      <c r="AI219" s="392">
        <f>IF(AND(MOD(31,3)=0,AI218&gt;0),AI218*Assumptions!$B$35,0)</f>
        <v/>
      </c>
      <c r="AJ219" s="392">
        <f>IF(AND(MOD(32,3)=0,AJ218&gt;0),AJ218*Assumptions!$B$35,0)</f>
        <v/>
      </c>
      <c r="AK219" s="392">
        <f>IF(AND(MOD(33,3)=0,AK218&gt;0),AK218*Assumptions!$B$35,0)</f>
        <v/>
      </c>
      <c r="AL219" s="392">
        <f>IF(AND(MOD(34,3)=0,AL218&gt;0),AL218*Assumptions!$B$35,0)</f>
        <v/>
      </c>
      <c r="AM219" s="392">
        <f>IF(AND(MOD(35,3)=0,AM218&gt;0),AM218*Assumptions!$B$35,0)</f>
        <v/>
      </c>
      <c r="AN219" s="392">
        <f>IF(AND(MOD(36,3)=0,AN218&gt;0),AN218*Assumptions!$B$35,0)</f>
        <v/>
      </c>
      <c r="AO219" s="392">
        <f>IF(AND(MOD(37,3)=0,AO218&gt;0),AO218*Assumptions!$B$35,0)</f>
        <v/>
      </c>
      <c r="AP219" s="392">
        <f>IF(AND(MOD(38,3)=0,AP218&gt;0),AP218*Assumptions!$B$35,0)</f>
        <v/>
      </c>
      <c r="AQ219" s="392">
        <f>IF(AND(MOD(39,3)=0,AQ218&gt;0),AQ218*Assumptions!$B$35,0)</f>
        <v/>
      </c>
      <c r="AR219" s="392">
        <f>IF(AND(MOD(40,3)=0,AR218&gt;0),AR218*Assumptions!$B$35,0)</f>
        <v/>
      </c>
      <c r="AS219" s="392">
        <f>IF(AND(MOD(41,3)=0,AS218&gt;0),AS218*Assumptions!$B$35,0)</f>
        <v/>
      </c>
      <c r="AT219" s="392">
        <f>IF(AND(MOD(42,3)=0,AT218&gt;0),AT218*Assumptions!$B$35,0)</f>
        <v/>
      </c>
      <c r="AU219" s="392">
        <f>IF(AND(MOD(43,3)=0,AU218&gt;0),AU218*Assumptions!$B$35,0)</f>
        <v/>
      </c>
      <c r="AV219" s="392">
        <f>IF(AND(MOD(44,3)=0,AV218&gt;0),AV218*Assumptions!$B$35,0)</f>
        <v/>
      </c>
      <c r="AW219" s="392">
        <f>IF(AND(MOD(45,3)=0,AW218&gt;0),AW218*Assumptions!$B$35,0)</f>
        <v/>
      </c>
      <c r="AX219" s="392">
        <f>IF(AND(MOD(46,3)=0,AX218&gt;0),AX218*Assumptions!$B$35,0)</f>
        <v/>
      </c>
      <c r="AY219" s="392">
        <f>IF(AND(MOD(47,3)=0,AY218&gt;0),AY218*Assumptions!$B$35,0)</f>
        <v/>
      </c>
      <c r="AZ219" s="392">
        <f>IF(AND(MOD(48,3)=0,AZ218&gt;0),AZ218*Assumptions!$B$35,0)</f>
        <v/>
      </c>
      <c r="BA219" s="392">
        <f>IF(AND(MOD(49,3)=0,BA218&gt;0),BA218*Assumptions!$B$35,0)</f>
        <v/>
      </c>
      <c r="BB219" s="392">
        <f>IF(AND(MOD(50,3)=0,BB218&gt;0),BB218*Assumptions!$B$35,0)</f>
        <v/>
      </c>
      <c r="BC219" s="392">
        <f>IF(AND(MOD(51,3)=0,BC218&gt;0),BC218*Assumptions!$B$35,0)</f>
        <v/>
      </c>
      <c r="BD219" s="392">
        <f>IF(AND(MOD(52,3)=0,BD218&gt;0),BD218*Assumptions!$B$35,0)</f>
        <v/>
      </c>
      <c r="BE219" s="392">
        <f>IF(AND(MOD(53,3)=0,BE218&gt;0),BE218*Assumptions!$B$35,0)</f>
        <v/>
      </c>
      <c r="BF219" s="392">
        <f>IF(AND(MOD(54,3)=0,BF218&gt;0),BF218*Assumptions!$B$35,0)</f>
        <v/>
      </c>
      <c r="BG219" s="392">
        <f>IF(AND(MOD(55,3)=0,BG218&gt;0),BG218*Assumptions!$B$35,0)</f>
        <v/>
      </c>
      <c r="BH219" s="392">
        <f>IF(AND(MOD(56,3)=0,BH218&gt;0),BH218*Assumptions!$B$35,0)</f>
        <v/>
      </c>
      <c r="BI219" s="392">
        <f>IF(AND(MOD(57,3)=0,BI218&gt;0),BI218*Assumptions!$B$35,0)</f>
        <v/>
      </c>
      <c r="BJ219" s="392">
        <f>IF(AND(MOD(58,3)=0,BJ218&gt;0),BJ218*Assumptions!$B$35,0)</f>
        <v/>
      </c>
      <c r="BK219" s="392">
        <f>IF(AND(MOD(59,3)=0,BK218&gt;0),BK218*Assumptions!$B$35,0)</f>
        <v/>
      </c>
      <c r="BL219" s="392">
        <f>IF(AND(MOD(60,3)=0,BL218&gt;0),BL218*Assumptions!$B$35,0)</f>
        <v/>
      </c>
      <c r="BM219" s="392">
        <f>IF(AND(MOD(61,3)=0,BM218&gt;0),BM218*Assumptions!$B$35,0)</f>
        <v/>
      </c>
      <c r="BN219" s="392">
        <f>IF(AND(MOD(62,3)=0,BN218&gt;0),BN218*Assumptions!$B$35,0)</f>
        <v/>
      </c>
      <c r="BO219" s="392">
        <f>IF(AND(MOD(63,3)=0,BO218&gt;0),BO218*Assumptions!$B$35,0)</f>
        <v/>
      </c>
      <c r="BP219" s="392">
        <f>IF(AND(MOD(64,3)=0,BP218&gt;0),BP218*Assumptions!$B$35,0)</f>
        <v/>
      </c>
      <c r="BQ219" s="392">
        <f>IF(AND(MOD(65,3)=0,BQ218&gt;0),BQ218*Assumptions!$B$35,0)</f>
        <v/>
      </c>
      <c r="BR219" s="392">
        <f>IF(AND(MOD(66,3)=0,BR218&gt;0),BR218*Assumptions!$B$35,0)</f>
        <v/>
      </c>
      <c r="BS219" s="392">
        <f>IF(AND(MOD(67,3)=0,BS218&gt;0),BS218*Assumptions!$B$35,0)</f>
        <v/>
      </c>
      <c r="BT219" s="392">
        <f>IF(AND(MOD(68,3)=0,BT218&gt;0),BT218*Assumptions!$B$35,0)</f>
        <v/>
      </c>
      <c r="BU219" s="392">
        <f>IF(AND(MOD(69,3)=0,BU218&gt;0),BU218*Assumptions!$B$35,0)</f>
        <v/>
      </c>
      <c r="BV219" s="392">
        <f>IF(AND(MOD(70,3)=0,BV218&gt;0),BV218*Assumptions!$B$35,0)</f>
        <v/>
      </c>
      <c r="BW219" s="392">
        <f>IF(AND(MOD(71,3)=0,BW218&gt;0),BW218*Assumptions!$B$35,0)</f>
        <v/>
      </c>
      <c r="BX219" s="392">
        <f>IF(AND(MOD(72,3)=0,BX218&gt;0),BX218*Assumptions!$B$35,0)</f>
        <v/>
      </c>
      <c r="BY219" s="392">
        <f>IF(AND(MOD(73,3)=0,BY218&gt;0),BY218*Assumptions!$B$35,0)</f>
        <v/>
      </c>
      <c r="BZ219" s="392">
        <f>IF(AND(MOD(74,3)=0,BZ218&gt;0),BZ218*Assumptions!$B$35,0)</f>
        <v/>
      </c>
      <c r="CA219" s="392">
        <f>IF(AND(MOD(75,3)=0,CA218&gt;0),CA218*Assumptions!$B$35,0)</f>
        <v/>
      </c>
      <c r="CB219" s="392">
        <f>IF(AND(MOD(76,3)=0,CB218&gt;0),CB218*Assumptions!$B$35,0)</f>
        <v/>
      </c>
      <c r="CC219" s="392">
        <f>IF(AND(MOD(77,3)=0,CC218&gt;0),CC218*Assumptions!$B$35,0)</f>
        <v/>
      </c>
      <c r="CD219" s="392">
        <f>IF(AND(MOD(78,3)=0,CD218&gt;0),CD218*Assumptions!$B$35,0)</f>
        <v/>
      </c>
      <c r="CE219" s="392">
        <f>IF(AND(MOD(79,3)=0,CE218&gt;0),CE218*Assumptions!$B$35,0)</f>
        <v/>
      </c>
      <c r="CF219" s="392">
        <f>IF(AND(MOD(80,3)=0,CF218&gt;0),CF218*Assumptions!$B$35,0)</f>
        <v/>
      </c>
      <c r="CG219" s="392">
        <f>IF(AND(MOD(81,3)=0,CG218&gt;0),CG218*Assumptions!$B$35,0)</f>
        <v/>
      </c>
      <c r="CH219" s="392">
        <f>IF(AND(MOD(82,3)=0,CH218&gt;0),CH218*Assumptions!$B$35,0)</f>
        <v/>
      </c>
      <c r="CI219" s="392">
        <f>IF(AND(MOD(83,3)=0,CI218&gt;0),CI218*Assumptions!$B$35,0)</f>
        <v/>
      </c>
      <c r="CJ219" s="392">
        <f>IF(AND(MOD(84,3)=0,CJ218&gt;0),CJ218*Assumptions!$B$35,0)</f>
        <v/>
      </c>
      <c r="CK219" s="392">
        <f>IF(AND(MOD(85,3)=0,CK218&gt;0),CK218*Assumptions!$B$35,0)</f>
        <v/>
      </c>
      <c r="CL219" s="392">
        <f>IF(AND(MOD(86,3)=0,CL218&gt;0),CL218*Assumptions!$B$35,0)</f>
        <v/>
      </c>
      <c r="CM219" s="392">
        <f>IF(AND(MOD(87,3)=0,CM218&gt;0),CM218*Assumptions!$B$35,0)</f>
        <v/>
      </c>
      <c r="CN219" s="392">
        <f>IF(AND(MOD(88,3)=0,CN218&gt;0),CN218*Assumptions!$B$35,0)</f>
        <v/>
      </c>
      <c r="CO219" s="392">
        <f>IF(AND(MOD(89,3)=0,CO218&gt;0),CO218*Assumptions!$B$35,0)</f>
        <v/>
      </c>
      <c r="CP219" s="392">
        <f>IF(AND(MOD(90,3)=0,CP218&gt;0),CP218*Assumptions!$B$35,0)</f>
        <v/>
      </c>
      <c r="CQ219" s="392">
        <f>IF(AND(MOD(91,3)=0,CQ218&gt;0),CQ218*Assumptions!$B$35,0)</f>
        <v/>
      </c>
      <c r="CR219" s="392">
        <f>IF(AND(MOD(92,3)=0,CR218&gt;0),CR218*Assumptions!$B$35,0)</f>
        <v/>
      </c>
      <c r="CS219" s="392">
        <f>IF(AND(MOD(93,3)=0,CS218&gt;0),CS218*Assumptions!$B$35,0)</f>
        <v/>
      </c>
      <c r="CT219" s="392">
        <f>IF(AND(MOD(94,3)=0,CT218&gt;0),CT218*Assumptions!$B$35,0)</f>
        <v/>
      </c>
      <c r="CU219" s="392">
        <f>IF(AND(MOD(95,3)=0,CU218&gt;0),CU218*Assumptions!$B$35,0)</f>
        <v/>
      </c>
      <c r="CV219" s="392">
        <f>IF(AND(MOD(96,3)=0,CV218&gt;0),CV218*Assumptions!$B$35,0)</f>
        <v/>
      </c>
      <c r="CW219" s="392">
        <f>IF(AND(MOD(97,3)=0,CW218&gt;0),CW218*Assumptions!$B$35,0)</f>
        <v/>
      </c>
      <c r="CX219" s="392">
        <f>IF(AND(MOD(98,3)=0,CX218&gt;0),CX218*Assumptions!$B$35,0)</f>
        <v/>
      </c>
      <c r="CY219" s="392">
        <f>IF(AND(MOD(99,3)=0,CY218&gt;0),CY218*Assumptions!$B$35,0)</f>
        <v/>
      </c>
      <c r="CZ219" s="392">
        <f>IF(AND(MOD(100,3)=0,CZ218&gt;0),CZ218*Assumptions!$B$35,0)</f>
        <v/>
      </c>
      <c r="DA219" s="392">
        <f>IF(AND(MOD(101,3)=0,DA218&gt;0),DA218*Assumptions!$B$35,0)</f>
        <v/>
      </c>
      <c r="DB219" s="392">
        <f>IF(AND(MOD(102,3)=0,DB218&gt;0),DB218*Assumptions!$B$35,0)</f>
        <v/>
      </c>
      <c r="DC219" s="392">
        <f>IF(AND(MOD(103,3)=0,DC218&gt;0),DC218*Assumptions!$B$35,0)</f>
        <v/>
      </c>
      <c r="DD219" s="392">
        <f>IF(AND(MOD(104,3)=0,DD218&gt;0),DD218*Assumptions!$B$35,0)</f>
        <v/>
      </c>
      <c r="DE219" s="392">
        <f>IF(AND(MOD(105,3)=0,DE218&gt;0),DE218*Assumptions!$B$35,0)</f>
        <v/>
      </c>
    </row>
    <row r="220" ht="15" customFormat="1" customHeight="1" s="380">
      <c r="A220" s="397" t="inlineStr">
        <is>
          <t>Monthly Payment</t>
        </is>
      </c>
      <c r="B220" s="392" t="n"/>
      <c r="C220" s="392" t="n"/>
      <c r="D220" s="392" t="n"/>
      <c r="E220" s="392">
        <f>IF(AND(1&gt;=Assumptions!$B$37,E218+E219&gt;0),-MIN(Assumptions!$B$36,E218+E219),0)</f>
        <v/>
      </c>
      <c r="F220" s="392">
        <f>IF(AND(2&gt;=Assumptions!$B$37,F218+F219&gt;0),-MIN(Assumptions!$B$36,F218+F219),0)</f>
        <v/>
      </c>
      <c r="G220" s="392">
        <f>IF(AND(3&gt;=Assumptions!$B$37,G218+G219&gt;0),-MIN(Assumptions!$B$36,G218+G219),0)</f>
        <v/>
      </c>
      <c r="H220" s="392">
        <f>IF(AND(4&gt;=Assumptions!$B$37,H218+H219&gt;0),-MIN(Assumptions!$B$36,H218+H219),0)</f>
        <v/>
      </c>
      <c r="I220" s="392">
        <f>IF(AND(5&gt;=Assumptions!$B$37,I218+I219&gt;0),-MIN(Assumptions!$B$36,I218+I219),0)</f>
        <v/>
      </c>
      <c r="J220" s="392">
        <f>IF(AND(6&gt;=Assumptions!$B$37,J218+J219&gt;0),-MIN(Assumptions!$B$36,J218+J219),0)</f>
        <v/>
      </c>
      <c r="K220" s="392">
        <f>IF(AND(7&gt;=Assumptions!$B$37,K218+K219&gt;0),-MIN(Assumptions!$B$36,K218+K219),0)</f>
        <v/>
      </c>
      <c r="L220" s="392">
        <f>IF(AND(8&gt;=Assumptions!$B$37,L218+L219&gt;0),-MIN(Assumptions!$B$36,L218+L219),0)</f>
        <v/>
      </c>
      <c r="M220" s="392">
        <f>IF(AND(9&gt;=Assumptions!$B$37,M218+M219&gt;0),-MIN(Assumptions!$B$36,M218+M219),0)</f>
        <v/>
      </c>
      <c r="N220" s="392">
        <f>IF(AND(10&gt;=Assumptions!$B$37,N218+N219&gt;0),-MIN(Assumptions!$B$36,N218+N219),0)</f>
        <v/>
      </c>
      <c r="O220" s="392">
        <f>IF(AND(11&gt;=Assumptions!$B$37,O218+O219&gt;0),-MIN(Assumptions!$B$36,O218+O219),0)</f>
        <v/>
      </c>
      <c r="P220" s="392">
        <f>IF(AND(12&gt;=Assumptions!$B$37,P218+P219&gt;0),-MIN(Assumptions!$B$36,P218+P219),0)</f>
        <v/>
      </c>
      <c r="Q220" s="392">
        <f>IF(AND(13&gt;=Assumptions!$B$37,Q218+Q219&gt;0),-MIN(Assumptions!$B$36,Q218+Q219),0)</f>
        <v/>
      </c>
      <c r="R220" s="392">
        <f>IF(AND(14&gt;=Assumptions!$B$37,R218+R219&gt;0),-MIN(Assumptions!$B$36,R218+R219),0)</f>
        <v/>
      </c>
      <c r="S220" s="392">
        <f>IF(AND(15&gt;=Assumptions!$B$37,S218+S219&gt;0),-MIN(Assumptions!$B$36,S218+S219),0)</f>
        <v/>
      </c>
      <c r="T220" s="392">
        <f>IF(AND(16&gt;=Assumptions!$B$37,T218+T219&gt;0),-MIN(Assumptions!$B$36,T218+T219),0)</f>
        <v/>
      </c>
      <c r="U220" s="392">
        <f>IF(AND(17&gt;=Assumptions!$B$37,U218+U219&gt;0),-MIN(Assumptions!$B$36,U218+U219),0)</f>
        <v/>
      </c>
      <c r="V220" s="392">
        <f>IF(AND(18&gt;=Assumptions!$B$37,V218+V219&gt;0),-MIN(Assumptions!$B$36,V218+V219),0)</f>
        <v/>
      </c>
      <c r="W220" s="392">
        <f>IF(AND(19&gt;=Assumptions!$B$37,W218+W219&gt;0),-MIN(Assumptions!$B$36,W218+W219),0)</f>
        <v/>
      </c>
      <c r="X220" s="392">
        <f>IF(AND(20&gt;=Assumptions!$B$37,X218+X219&gt;0),-MIN(Assumptions!$B$36,X218+X219),0)</f>
        <v/>
      </c>
      <c r="Y220" s="392">
        <f>IF(AND(21&gt;=Assumptions!$B$37,Y218+Y219&gt;0),-MIN(Assumptions!$B$36,Y218+Y219),0)</f>
        <v/>
      </c>
      <c r="Z220" s="392">
        <f>IF(AND(22&gt;=Assumptions!$B$37,Z218+Z219&gt;0),-MIN(Assumptions!$B$36,Z218+Z219),0)</f>
        <v/>
      </c>
      <c r="AA220" s="392">
        <f>IF(AND(23&gt;=Assumptions!$B$37,AA218+AA219&gt;0),-MIN(Assumptions!$B$36,AA218+AA219),0)</f>
        <v/>
      </c>
      <c r="AB220" s="392">
        <f>IF(AND(24&gt;=Assumptions!$B$37,AB218+AB219&gt;0),-MIN(Assumptions!$B$36,AB218+AB219),0)</f>
        <v/>
      </c>
      <c r="AC220" s="392">
        <f>IF(AND(25&gt;=Assumptions!$B$37,AC218+AC219&gt;0),-MIN(Assumptions!$B$36,AC218+AC219),0)</f>
        <v/>
      </c>
      <c r="AD220" s="392">
        <f>IF(AND(26&gt;=Assumptions!$B$37,AD218+AD219&gt;0),-MIN(Assumptions!$B$36,AD218+AD219),0)</f>
        <v/>
      </c>
      <c r="AE220" s="392">
        <f>IF(AND(27&gt;=Assumptions!$B$37,AE218+AE219&gt;0),-MIN(Assumptions!$B$36,AE218+AE219),0)</f>
        <v/>
      </c>
      <c r="AF220" s="392">
        <f>IF(AND(28&gt;=Assumptions!$B$37,AF218+AF219&gt;0),-MIN(Assumptions!$B$36,AF218+AF219),0)</f>
        <v/>
      </c>
      <c r="AG220" s="392">
        <f>IF(AND(29&gt;=Assumptions!$B$37,AG218+AG219&gt;0),-MIN(Assumptions!$B$36,AG218+AG219),0)</f>
        <v/>
      </c>
      <c r="AH220" s="392">
        <f>IF(AND(30&gt;=Assumptions!$B$37,AH218+AH219&gt;0),-MIN(Assumptions!$B$36,AH218+AH219),0)</f>
        <v/>
      </c>
      <c r="AI220" s="392">
        <f>IF(AND(31&gt;=Assumptions!$B$37,AI218+AI219&gt;0),-MIN(Assumptions!$B$36,AI218+AI219),0)</f>
        <v/>
      </c>
      <c r="AJ220" s="392">
        <f>IF(AND(32&gt;=Assumptions!$B$37,AJ218+AJ219&gt;0),-MIN(Assumptions!$B$36,AJ218+AJ219),0)</f>
        <v/>
      </c>
      <c r="AK220" s="392">
        <f>IF(AND(33&gt;=Assumptions!$B$37,AK218+AK219&gt;0),-MIN(Assumptions!$B$36,AK218+AK219),0)</f>
        <v/>
      </c>
      <c r="AL220" s="392">
        <f>IF(AND(34&gt;=Assumptions!$B$37,AL218+AL219&gt;0),-MIN(Assumptions!$B$36,AL218+AL219),0)</f>
        <v/>
      </c>
      <c r="AM220" s="392">
        <f>IF(AND(35&gt;=Assumptions!$B$37,AM218+AM219&gt;0),-MIN(Assumptions!$B$36,AM218+AM219),0)</f>
        <v/>
      </c>
      <c r="AN220" s="392">
        <f>IF(AND(36&gt;=Assumptions!$B$37,AN218+AN219&gt;0),-MIN(Assumptions!$B$36,AN218+AN219),0)</f>
        <v/>
      </c>
      <c r="AO220" s="392">
        <f>IF(AND(37&gt;=Assumptions!$B$37,AO218+AO219&gt;0),-MIN(Assumptions!$B$36,AO218+AO219),0)</f>
        <v/>
      </c>
      <c r="AP220" s="392">
        <f>IF(AND(38&gt;=Assumptions!$B$37,AP218+AP219&gt;0),-MIN(Assumptions!$B$36,AP218+AP219),0)</f>
        <v/>
      </c>
      <c r="AQ220" s="392">
        <f>IF(AND(39&gt;=Assumptions!$B$37,AQ218+AQ219&gt;0),-MIN(Assumptions!$B$36,AQ218+AQ219),0)</f>
        <v/>
      </c>
      <c r="AR220" s="392">
        <f>IF(AND(40&gt;=Assumptions!$B$37,AR218+AR219&gt;0),-MIN(Assumptions!$B$36,AR218+AR219),0)</f>
        <v/>
      </c>
      <c r="AS220" s="392">
        <f>IF(AND(41&gt;=Assumptions!$B$37,AS218+AS219&gt;0),-MIN(Assumptions!$B$36,AS218+AS219),0)</f>
        <v/>
      </c>
      <c r="AT220" s="392">
        <f>IF(AND(42&gt;=Assumptions!$B$37,AT218+AT219&gt;0),-MIN(Assumptions!$B$36,AT218+AT219),0)</f>
        <v/>
      </c>
      <c r="AU220" s="392">
        <f>IF(AND(43&gt;=Assumptions!$B$37,AU218+AU219&gt;0),-MIN(Assumptions!$B$36,AU218+AU219),0)</f>
        <v/>
      </c>
      <c r="AV220" s="392">
        <f>IF(AND(44&gt;=Assumptions!$B$37,AV218+AV219&gt;0),-MIN(Assumptions!$B$36,AV218+AV219),0)</f>
        <v/>
      </c>
      <c r="AW220" s="392">
        <f>IF(AND(45&gt;=Assumptions!$B$37,AW218+AW219&gt;0),-MIN(Assumptions!$B$36,AW218+AW219),0)</f>
        <v/>
      </c>
      <c r="AX220" s="392">
        <f>IF(AND(46&gt;=Assumptions!$B$37,AX218+AX219&gt;0),-MIN(Assumptions!$B$36,AX218+AX219),0)</f>
        <v/>
      </c>
      <c r="AY220" s="392">
        <f>IF(AND(47&gt;=Assumptions!$B$37,AY218+AY219&gt;0),-MIN(Assumptions!$B$36,AY218+AY219),0)</f>
        <v/>
      </c>
      <c r="AZ220" s="392">
        <f>IF(AND(48&gt;=Assumptions!$B$37,AZ218+AZ219&gt;0),-MIN(Assumptions!$B$36,AZ218+AZ219),0)</f>
        <v/>
      </c>
      <c r="BA220" s="392">
        <f>IF(AND(49&gt;=Assumptions!$B$37,BA218+BA219&gt;0),-MIN(Assumptions!$B$36,BA218+BA219),0)</f>
        <v/>
      </c>
      <c r="BB220" s="392">
        <f>IF(AND(50&gt;=Assumptions!$B$37,BB218+BB219&gt;0),-MIN(Assumptions!$B$36,BB218+BB219),0)</f>
        <v/>
      </c>
      <c r="BC220" s="392">
        <f>IF(AND(51&gt;=Assumptions!$B$37,BC218+BC219&gt;0),-MIN(Assumptions!$B$36,BC218+BC219),0)</f>
        <v/>
      </c>
      <c r="BD220" s="392">
        <f>IF(AND(52&gt;=Assumptions!$B$37,BD218+BD219&gt;0),-MIN(Assumptions!$B$36,BD218+BD219),0)</f>
        <v/>
      </c>
      <c r="BE220" s="392">
        <f>IF(AND(53&gt;=Assumptions!$B$37,BE218+BE219&gt;0),-MIN(Assumptions!$B$36,BE218+BE219),0)</f>
        <v/>
      </c>
      <c r="BF220" s="392">
        <f>IF(AND(54&gt;=Assumptions!$B$37,BF218+BF219&gt;0),-MIN(Assumptions!$B$36,BF218+BF219),0)</f>
        <v/>
      </c>
      <c r="BG220" s="392">
        <f>IF(AND(55&gt;=Assumptions!$B$37,BG218+BG219&gt;0),-MIN(Assumptions!$B$36,BG218+BG219),0)</f>
        <v/>
      </c>
      <c r="BH220" s="392">
        <f>IF(AND(56&gt;=Assumptions!$B$37,BH218+BH219&gt;0),-MIN(Assumptions!$B$36,BH218+BH219),0)</f>
        <v/>
      </c>
      <c r="BI220" s="392">
        <f>IF(AND(57&gt;=Assumptions!$B$37,BI218+BI219&gt;0),-MIN(Assumptions!$B$36,BI218+BI219),0)</f>
        <v/>
      </c>
      <c r="BJ220" s="392">
        <f>IF(AND(58&gt;=Assumptions!$B$37,BJ218+BJ219&gt;0),-MIN(Assumptions!$B$36,BJ218+BJ219),0)</f>
        <v/>
      </c>
      <c r="BK220" s="392">
        <f>IF(AND(59&gt;=Assumptions!$B$37,BK218+BK219&gt;0),-MIN(Assumptions!$B$36,BK218+BK219),0)</f>
        <v/>
      </c>
      <c r="BL220" s="392">
        <f>IF(AND(60&gt;=Assumptions!$B$37,BL218+BL219&gt;0),-MIN(Assumptions!$B$36,BL218+BL219),0)</f>
        <v/>
      </c>
      <c r="BM220" s="392">
        <f>IF(AND(61&gt;=Assumptions!$B$37,BM218+BM219&gt;0),-MIN(Assumptions!$B$36,BM218+BM219),0)</f>
        <v/>
      </c>
      <c r="BN220" s="392">
        <f>IF(AND(62&gt;=Assumptions!$B$37,BN218+BN219&gt;0),-MIN(Assumptions!$B$36,BN218+BN219),0)</f>
        <v/>
      </c>
      <c r="BO220" s="392">
        <f>IF(AND(63&gt;=Assumptions!$B$37,BO218+BO219&gt;0),-MIN(Assumptions!$B$36,BO218+BO219),0)</f>
        <v/>
      </c>
      <c r="BP220" s="392">
        <f>IF(AND(64&gt;=Assumptions!$B$37,BP218+BP219&gt;0),-MIN(Assumptions!$B$36,BP218+BP219),0)</f>
        <v/>
      </c>
      <c r="BQ220" s="392">
        <f>IF(AND(65&gt;=Assumptions!$B$37,BQ218+BQ219&gt;0),-MIN(Assumptions!$B$36,BQ218+BQ219),0)</f>
        <v/>
      </c>
      <c r="BR220" s="392">
        <f>IF(AND(66&gt;=Assumptions!$B$37,BR218+BR219&gt;0),-MIN(Assumptions!$B$36,BR218+BR219),0)</f>
        <v/>
      </c>
      <c r="BS220" s="392">
        <f>IF(AND(67&gt;=Assumptions!$B$37,BS218+BS219&gt;0),-MIN(Assumptions!$B$36,BS218+BS219),0)</f>
        <v/>
      </c>
      <c r="BT220" s="392">
        <f>IF(AND(68&gt;=Assumptions!$B$37,BT218+BT219&gt;0),-MIN(Assumptions!$B$36,BT218+BT219),0)</f>
        <v/>
      </c>
      <c r="BU220" s="392">
        <f>IF(AND(69&gt;=Assumptions!$B$37,BU218+BU219&gt;0),-MIN(Assumptions!$B$36,BU218+BU219),0)</f>
        <v/>
      </c>
      <c r="BV220" s="392">
        <f>IF(AND(70&gt;=Assumptions!$B$37,BV218+BV219&gt;0),-MIN(Assumptions!$B$36,BV218+BV219),0)</f>
        <v/>
      </c>
      <c r="BW220" s="392">
        <f>IF(AND(71&gt;=Assumptions!$B$37,BW218+BW219&gt;0),-MIN(Assumptions!$B$36,BW218+BW219),0)</f>
        <v/>
      </c>
      <c r="BX220" s="392">
        <f>IF(AND(72&gt;=Assumptions!$B$37,BX218+BX219&gt;0),-MIN(Assumptions!$B$36,BX218+BX219),0)</f>
        <v/>
      </c>
      <c r="BY220" s="392">
        <f>IF(AND(73&gt;=Assumptions!$B$37,BY218+BY219&gt;0),-MIN(Assumptions!$B$36,BY218+BY219),0)</f>
        <v/>
      </c>
      <c r="BZ220" s="392">
        <f>IF(AND(74&gt;=Assumptions!$B$37,BZ218+BZ219&gt;0),-MIN(Assumptions!$B$36,BZ218+BZ219),0)</f>
        <v/>
      </c>
      <c r="CA220" s="392">
        <f>IF(AND(75&gt;=Assumptions!$B$37,CA218+CA219&gt;0),-MIN(Assumptions!$B$36,CA218+CA219),0)</f>
        <v/>
      </c>
      <c r="CB220" s="392">
        <f>IF(AND(76&gt;=Assumptions!$B$37,CB218+CB219&gt;0),-MIN(Assumptions!$B$36,CB218+CB219),0)</f>
        <v/>
      </c>
      <c r="CC220" s="392">
        <f>IF(AND(77&gt;=Assumptions!$B$37,CC218+CC219&gt;0),-MIN(Assumptions!$B$36,CC218+CC219),0)</f>
        <v/>
      </c>
      <c r="CD220" s="392">
        <f>IF(AND(78&gt;=Assumptions!$B$37,CD218+CD219&gt;0),-MIN(Assumptions!$B$36,CD218+CD219),0)</f>
        <v/>
      </c>
      <c r="CE220" s="392">
        <f>IF(AND(79&gt;=Assumptions!$B$37,CE218+CE219&gt;0),-MIN(Assumptions!$B$36,CE218+CE219),0)</f>
        <v/>
      </c>
      <c r="CF220" s="392">
        <f>IF(AND(80&gt;=Assumptions!$B$37,CF218+CF219&gt;0),-MIN(Assumptions!$B$36,CF218+CF219),0)</f>
        <v/>
      </c>
      <c r="CG220" s="392">
        <f>IF(AND(81&gt;=Assumptions!$B$37,CG218+CG219&gt;0),-MIN(Assumptions!$B$36,CG218+CG219),0)</f>
        <v/>
      </c>
      <c r="CH220" s="392">
        <f>IF(AND(82&gt;=Assumptions!$B$37,CH218+CH219&gt;0),-MIN(Assumptions!$B$36,CH218+CH219),0)</f>
        <v/>
      </c>
      <c r="CI220" s="392">
        <f>IF(AND(83&gt;=Assumptions!$B$37,CI218+CI219&gt;0),-MIN(Assumptions!$B$36,CI218+CI219),0)</f>
        <v/>
      </c>
      <c r="CJ220" s="392">
        <f>IF(AND(84&gt;=Assumptions!$B$37,CJ218+CJ219&gt;0),-MIN(Assumptions!$B$36,CJ218+CJ219),0)</f>
        <v/>
      </c>
      <c r="CK220" s="392">
        <f>IF(AND(85&gt;=Assumptions!$B$37,CK218+CK219&gt;0),-MIN(Assumptions!$B$36,CK218+CK219),0)</f>
        <v/>
      </c>
      <c r="CL220" s="392">
        <f>IF(AND(86&gt;=Assumptions!$B$37,CL218+CL219&gt;0),-MIN(Assumptions!$B$36,CL218+CL219),0)</f>
        <v/>
      </c>
      <c r="CM220" s="392">
        <f>IF(AND(87&gt;=Assumptions!$B$37,CM218+CM219&gt;0),-MIN(Assumptions!$B$36,CM218+CM219),0)</f>
        <v/>
      </c>
      <c r="CN220" s="392">
        <f>IF(AND(88&gt;=Assumptions!$B$37,CN218+CN219&gt;0),-MIN(Assumptions!$B$36,CN218+CN219),0)</f>
        <v/>
      </c>
      <c r="CO220" s="392">
        <f>IF(AND(89&gt;=Assumptions!$B$37,CO218+CO219&gt;0),-MIN(Assumptions!$B$36,CO218+CO219),0)</f>
        <v/>
      </c>
      <c r="CP220" s="392">
        <f>IF(AND(90&gt;=Assumptions!$B$37,CP218+CP219&gt;0),-MIN(Assumptions!$B$36,CP218+CP219),0)</f>
        <v/>
      </c>
      <c r="CQ220" s="392">
        <f>IF(AND(91&gt;=Assumptions!$B$37,CQ218+CQ219&gt;0),-MIN(Assumptions!$B$36,CQ218+CQ219),0)</f>
        <v/>
      </c>
      <c r="CR220" s="392">
        <f>IF(AND(92&gt;=Assumptions!$B$37,CR218+CR219&gt;0),-MIN(Assumptions!$B$36,CR218+CR219),0)</f>
        <v/>
      </c>
      <c r="CS220" s="392">
        <f>IF(AND(93&gt;=Assumptions!$B$37,CS218+CS219&gt;0),-MIN(Assumptions!$B$36,CS218+CS219),0)</f>
        <v/>
      </c>
      <c r="CT220" s="392">
        <f>IF(AND(94&gt;=Assumptions!$B$37,CT218+CT219&gt;0),-MIN(Assumptions!$B$36,CT218+CT219),0)</f>
        <v/>
      </c>
      <c r="CU220" s="392">
        <f>IF(AND(95&gt;=Assumptions!$B$37,CU218+CU219&gt;0),-MIN(Assumptions!$B$36,CU218+CU219),0)</f>
        <v/>
      </c>
      <c r="CV220" s="392">
        <f>IF(AND(96&gt;=Assumptions!$B$37,CV218+CV219&gt;0),-MIN(Assumptions!$B$36,CV218+CV219),0)</f>
        <v/>
      </c>
      <c r="CW220" s="392">
        <f>IF(AND(97&gt;=Assumptions!$B$37,CW218+CW219&gt;0),-MIN(Assumptions!$B$36,CW218+CW219),0)</f>
        <v/>
      </c>
      <c r="CX220" s="392">
        <f>IF(AND(98&gt;=Assumptions!$B$37,CX218+CX219&gt;0),-MIN(Assumptions!$B$36,CX218+CX219),0)</f>
        <v/>
      </c>
      <c r="CY220" s="392">
        <f>IF(AND(99&gt;=Assumptions!$B$37,CY218+CY219&gt;0),-MIN(Assumptions!$B$36,CY218+CY219),0)</f>
        <v/>
      </c>
      <c r="CZ220" s="392">
        <f>IF(AND(100&gt;=Assumptions!$B$37,CZ218+CZ219&gt;0),-MIN(Assumptions!$B$36,CZ218+CZ219),0)</f>
        <v/>
      </c>
      <c r="DA220" s="392">
        <f>IF(AND(101&gt;=Assumptions!$B$37,DA218+DA219&gt;0),-MIN(Assumptions!$B$36,DA218+DA219),0)</f>
        <v/>
      </c>
      <c r="DB220" s="392">
        <f>IF(AND(102&gt;=Assumptions!$B$37,DB218+DB219&gt;0),-MIN(Assumptions!$B$36,DB218+DB219),0)</f>
        <v/>
      </c>
      <c r="DC220" s="392">
        <f>IF(AND(103&gt;=Assumptions!$B$37,DC218+DC219&gt;0),-MIN(Assumptions!$B$36,DC218+DC219),0)</f>
        <v/>
      </c>
      <c r="DD220" s="392">
        <f>IF(AND(104&gt;=Assumptions!$B$37,DD218+DD219&gt;0),-MIN(Assumptions!$B$36,DD218+DD219),0)</f>
        <v/>
      </c>
      <c r="DE220" s="392">
        <f>IF(AND(105&gt;=Assumptions!$B$37,DE218+DE219&gt;0),-MIN(Assumptions!$B$36,DE218+DE219),0)</f>
        <v/>
      </c>
    </row>
    <row r="221" ht="15" customFormat="1" customHeight="1" s="380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Format="1" customHeight="1" s="380">
      <c r="A222" s="382" t="n"/>
      <c r="B222" s="392" t="n"/>
      <c r="C222" s="392" t="n"/>
      <c r="D222" s="392" t="n"/>
      <c r="E222" s="392" t="n"/>
      <c r="F222" s="392" t="n"/>
      <c r="G222" s="392" t="n"/>
      <c r="H222" s="392" t="n"/>
      <c r="I222" s="392" t="n"/>
      <c r="J222" s="392" t="n"/>
      <c r="K222" s="392" t="n"/>
      <c r="L222" s="392" t="n"/>
      <c r="M222" s="392" t="n"/>
      <c r="N222" s="392" t="n"/>
      <c r="O222" s="392" t="n"/>
      <c r="P222" s="392" t="n"/>
      <c r="Q222" s="392" t="n"/>
      <c r="R222" s="392" t="n"/>
      <c r="S222" s="392" t="n"/>
      <c r="T222" s="392" t="n"/>
      <c r="U222" s="392" t="n"/>
      <c r="V222" s="392" t="n"/>
      <c r="W222" s="392" t="n"/>
      <c r="X222" s="392" t="n"/>
      <c r="Y222" s="392" t="n"/>
      <c r="Z222" s="392" t="n"/>
      <c r="AA222" s="392" t="n"/>
      <c r="AB222" s="392" t="n"/>
      <c r="AC222" s="392" t="n"/>
      <c r="AD222" s="392" t="n"/>
      <c r="AE222" s="392" t="n"/>
      <c r="AF222" s="392" t="n"/>
      <c r="AG222" s="392" t="n"/>
      <c r="AH222" s="392" t="n"/>
      <c r="AI222" s="392" t="n"/>
      <c r="AJ222" s="392" t="n"/>
      <c r="AK222" s="392" t="n"/>
      <c r="AL222" s="392" t="n"/>
      <c r="AM222" s="392" t="n"/>
      <c r="AN222" s="392" t="n"/>
      <c r="AO222" s="392" t="n"/>
      <c r="AP222" s="392" t="n"/>
      <c r="AQ222" s="392" t="n"/>
      <c r="AR222" s="392" t="n"/>
      <c r="AS222" s="392" t="n"/>
      <c r="AT222" s="392" t="n"/>
      <c r="AU222" s="392" t="n"/>
      <c r="AV222" s="392" t="n"/>
      <c r="AW222" s="392" t="n"/>
      <c r="AX222" s="392" t="n"/>
      <c r="AY222" s="392" t="n"/>
      <c r="AZ222" s="392" t="n"/>
      <c r="BA222" s="392" t="n"/>
      <c r="BB222" s="392" t="n"/>
      <c r="BC222" s="392" t="n"/>
      <c r="BD222" s="392" t="n"/>
      <c r="BE222" s="392" t="n"/>
      <c r="BF222" s="392" t="n"/>
      <c r="BG222" s="392" t="n"/>
      <c r="BH222" s="392" t="n"/>
      <c r="BI222" s="392" t="n"/>
      <c r="BJ222" s="392" t="n"/>
      <c r="BK222" s="392" t="n"/>
      <c r="BL222" s="392" t="n"/>
      <c r="BM222" s="392" t="n"/>
      <c r="BN222" s="392" t="n"/>
      <c r="BO222" s="392" t="n"/>
      <c r="BP222" s="392" t="n"/>
      <c r="BQ222" s="392" t="n"/>
      <c r="BR222" s="392" t="n"/>
      <c r="BS222" s="392" t="n"/>
      <c r="BT222" s="392" t="n"/>
      <c r="BU222" s="392" t="n"/>
      <c r="BV222" s="392" t="n"/>
      <c r="BW222" s="392" t="n"/>
      <c r="BX222" s="392" t="n"/>
      <c r="BY222" s="392" t="n"/>
      <c r="BZ222" s="392" t="n"/>
      <c r="CA222" s="392" t="n"/>
      <c r="CB222" s="392" t="n"/>
      <c r="CC222" s="392" t="n"/>
      <c r="CD222" s="392" t="n"/>
      <c r="CE222" s="392" t="n"/>
      <c r="CF222" s="392" t="n"/>
      <c r="CG222" s="392" t="n"/>
      <c r="CH222" s="392" t="n"/>
      <c r="CI222" s="392" t="n"/>
      <c r="CJ222" s="392" t="n"/>
      <c r="CK222" s="392" t="n"/>
      <c r="CL222" s="392" t="n"/>
      <c r="CM222" s="392" t="n"/>
      <c r="CN222" s="392" t="n"/>
      <c r="CO222" s="392" t="n"/>
      <c r="CP222" s="392" t="n"/>
      <c r="CQ222" s="392" t="n"/>
      <c r="CR222" s="392" t="n"/>
      <c r="CS222" s="392" t="n"/>
      <c r="CT222" s="392" t="n"/>
      <c r="CU222" s="392" t="n"/>
      <c r="CV222" s="392" t="n"/>
      <c r="CW222" s="392" t="n"/>
      <c r="CX222" s="392" t="n"/>
      <c r="CY222" s="392" t="n"/>
      <c r="CZ222" s="392" t="n"/>
      <c r="DA222" s="392" t="n"/>
      <c r="DB222" s="392" t="n"/>
      <c r="DC222" s="392" t="n"/>
      <c r="DD222" s="392" t="n"/>
      <c r="DE222" s="392" t="n"/>
    </row>
    <row r="223" ht="16.5" customFormat="1" customHeight="1" s="380">
      <c r="A223" s="382" t="n"/>
      <c r="B223" s="392" t="n"/>
      <c r="C223" s="392" t="n"/>
      <c r="D223" s="392" t="n"/>
      <c r="E223" s="392" t="n"/>
      <c r="F223" s="392" t="n"/>
      <c r="G223" s="392" t="n"/>
      <c r="H223" s="392" t="n"/>
      <c r="I223" s="392" t="n"/>
      <c r="J223" s="392" t="n"/>
      <c r="K223" s="392" t="n"/>
      <c r="L223" s="392" t="n"/>
      <c r="M223" s="392" t="n"/>
      <c r="N223" s="392" t="n"/>
      <c r="O223" s="392" t="n"/>
      <c r="P223" s="392" t="n"/>
      <c r="Q223" s="392" t="n"/>
      <c r="R223" s="392" t="n"/>
      <c r="S223" s="392" t="n"/>
      <c r="T223" s="392" t="n"/>
      <c r="U223" s="392" t="n"/>
      <c r="V223" s="392" t="n"/>
      <c r="W223" s="392" t="n"/>
      <c r="X223" s="392" t="n"/>
      <c r="Y223" s="392" t="n"/>
      <c r="Z223" s="392" t="n"/>
      <c r="AA223" s="392" t="n"/>
      <c r="AB223" s="392" t="n"/>
      <c r="AC223" s="392" t="n"/>
      <c r="AD223" s="392" t="n"/>
      <c r="AE223" s="392" t="n"/>
      <c r="AF223" s="392" t="n"/>
      <c r="AG223" s="392" t="n"/>
      <c r="AH223" s="392" t="n"/>
      <c r="AI223" s="392" t="n"/>
      <c r="AJ223" s="392" t="n"/>
      <c r="AK223" s="392" t="n"/>
      <c r="AL223" s="392" t="n"/>
      <c r="AM223" s="392" t="n"/>
      <c r="AN223" s="392" t="n"/>
      <c r="AO223" s="392" t="n"/>
      <c r="AP223" s="392" t="n"/>
      <c r="AQ223" s="392" t="n"/>
      <c r="AR223" s="392" t="n"/>
      <c r="AS223" s="392" t="n"/>
      <c r="AT223" s="392" t="n"/>
      <c r="AU223" s="392" t="n"/>
      <c r="AV223" s="392" t="n"/>
      <c r="AW223" s="392" t="n"/>
      <c r="AX223" s="392" t="n"/>
      <c r="AY223" s="392" t="n"/>
      <c r="AZ223" s="392" t="n"/>
      <c r="BA223" s="392" t="n"/>
      <c r="BB223" s="392" t="n"/>
      <c r="BC223" s="392" t="n"/>
      <c r="BD223" s="392" t="n"/>
      <c r="BE223" s="392" t="n"/>
      <c r="BF223" s="392" t="n"/>
      <c r="BG223" s="392" t="n"/>
      <c r="BH223" s="392" t="n"/>
      <c r="BI223" s="392" t="n"/>
      <c r="BJ223" s="392" t="n"/>
      <c r="BK223" s="392" t="n"/>
      <c r="BL223" s="392" t="n"/>
      <c r="BM223" s="392" t="n"/>
      <c r="BN223" s="392" t="n"/>
      <c r="BO223" s="392" t="n"/>
      <c r="BP223" s="392" t="n"/>
      <c r="BQ223" s="392" t="n"/>
      <c r="BR223" s="392" t="n"/>
      <c r="BS223" s="392" t="n"/>
      <c r="BT223" s="392" t="n"/>
      <c r="BU223" s="392" t="n"/>
      <c r="BV223" s="392" t="n"/>
      <c r="BW223" s="392" t="n"/>
      <c r="BX223" s="392" t="n"/>
      <c r="BY223" s="392" t="n"/>
      <c r="BZ223" s="392" t="n"/>
      <c r="CA223" s="392" t="n"/>
      <c r="CB223" s="392" t="n"/>
      <c r="CC223" s="392" t="n"/>
      <c r="CD223" s="392" t="n"/>
      <c r="CE223" s="392" t="n"/>
      <c r="CF223" s="392" t="n"/>
      <c r="CG223" s="392" t="n"/>
      <c r="CH223" s="392" t="n"/>
      <c r="CI223" s="392" t="n"/>
      <c r="CJ223" s="392" t="n"/>
      <c r="CK223" s="392" t="n"/>
      <c r="CL223" s="392" t="n"/>
      <c r="CM223" s="392" t="n"/>
      <c r="CN223" s="392" t="n"/>
      <c r="CO223" s="392" t="n"/>
      <c r="CP223" s="392" t="n"/>
      <c r="CQ223" s="392" t="n"/>
      <c r="CR223" s="392" t="n"/>
      <c r="CS223" s="392" t="n"/>
      <c r="CT223" s="392" t="n"/>
      <c r="CU223" s="392" t="n"/>
      <c r="CV223" s="392" t="n"/>
      <c r="CW223" s="392" t="n"/>
      <c r="CX223" s="392" t="n"/>
      <c r="CY223" s="392" t="n"/>
      <c r="CZ223" s="392" t="n"/>
      <c r="DA223" s="392" t="n"/>
      <c r="DB223" s="392" t="n"/>
      <c r="DC223" s="392" t="n"/>
      <c r="DD223" s="392" t="n"/>
      <c r="DE223" s="392" t="n"/>
    </row>
    <row r="224" ht="15" customFormat="1" customHeight="1" s="380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Format="1" customHeight="1" s="380">
      <c r="A225" s="397" t="inlineStr">
        <is>
          <t>Beginning Balance</t>
        </is>
      </c>
      <c r="B225" s="392" t="n"/>
      <c r="C225" s="392" t="n"/>
      <c r="D225" s="392" t="n"/>
      <c r="E225" s="392">
        <f>Assumptions!$B$41</f>
        <v/>
      </c>
      <c r="F225" s="392">
        <f>E227</f>
        <v/>
      </c>
      <c r="G225" s="392">
        <f>F227</f>
        <v/>
      </c>
      <c r="H225" s="392">
        <f>G227</f>
        <v/>
      </c>
      <c r="I225" s="392">
        <f>H227</f>
        <v/>
      </c>
      <c r="J225" s="392">
        <f>I227</f>
        <v/>
      </c>
      <c r="K225" s="392">
        <f>J227</f>
        <v/>
      </c>
      <c r="L225" s="392">
        <f>K227</f>
        <v/>
      </c>
      <c r="M225" s="392">
        <f>L227</f>
        <v/>
      </c>
      <c r="N225" s="392">
        <f>M227</f>
        <v/>
      </c>
      <c r="O225" s="392">
        <f>N227</f>
        <v/>
      </c>
      <c r="P225" s="392">
        <f>O227</f>
        <v/>
      </c>
      <c r="Q225" s="392">
        <f>P227</f>
        <v/>
      </c>
      <c r="R225" s="392">
        <f>Q227</f>
        <v/>
      </c>
      <c r="S225" s="392">
        <f>R227</f>
        <v/>
      </c>
      <c r="T225" s="392">
        <f>S227</f>
        <v/>
      </c>
      <c r="U225" s="392">
        <f>T227</f>
        <v/>
      </c>
      <c r="V225" s="392">
        <f>U227</f>
        <v/>
      </c>
      <c r="W225" s="392">
        <f>V227</f>
        <v/>
      </c>
      <c r="X225" s="392">
        <f>W227</f>
        <v/>
      </c>
      <c r="Y225" s="392">
        <f>X227</f>
        <v/>
      </c>
      <c r="Z225" s="392">
        <f>Y227</f>
        <v/>
      </c>
      <c r="AA225" s="392">
        <f>Z227</f>
        <v/>
      </c>
      <c r="AB225" s="392">
        <f>AA227</f>
        <v/>
      </c>
      <c r="AC225" s="392">
        <f>AB227</f>
        <v/>
      </c>
      <c r="AD225" s="392">
        <f>AC227</f>
        <v/>
      </c>
      <c r="AE225" s="392">
        <f>AD227</f>
        <v/>
      </c>
      <c r="AF225" s="392">
        <f>AE227</f>
        <v/>
      </c>
      <c r="AG225" s="392">
        <f>AF227</f>
        <v/>
      </c>
      <c r="AH225" s="392">
        <f>AG227</f>
        <v/>
      </c>
      <c r="AI225" s="392">
        <f>AH227</f>
        <v/>
      </c>
      <c r="AJ225" s="392">
        <f>AI227</f>
        <v/>
      </c>
      <c r="AK225" s="392">
        <f>AJ227</f>
        <v/>
      </c>
      <c r="AL225" s="392">
        <f>AK227</f>
        <v/>
      </c>
      <c r="AM225" s="392">
        <f>AL227</f>
        <v/>
      </c>
      <c r="AN225" s="392">
        <f>AM227</f>
        <v/>
      </c>
      <c r="AO225" s="392">
        <f>AN227</f>
        <v/>
      </c>
      <c r="AP225" s="392">
        <f>AO227</f>
        <v/>
      </c>
      <c r="AQ225" s="392">
        <f>AP227</f>
        <v/>
      </c>
      <c r="AR225" s="392">
        <f>AQ227</f>
        <v/>
      </c>
      <c r="AS225" s="392">
        <f>AR227</f>
        <v/>
      </c>
      <c r="AT225" s="392">
        <f>AS227</f>
        <v/>
      </c>
      <c r="AU225" s="392">
        <f>AT227</f>
        <v/>
      </c>
      <c r="AV225" s="392">
        <f>AU227</f>
        <v/>
      </c>
      <c r="AW225" s="392">
        <f>AV227</f>
        <v/>
      </c>
      <c r="AX225" s="392">
        <f>AW227</f>
        <v/>
      </c>
      <c r="AY225" s="392">
        <f>AX227</f>
        <v/>
      </c>
      <c r="AZ225" s="392">
        <f>AY227</f>
        <v/>
      </c>
      <c r="BA225" s="392">
        <f>AZ227</f>
        <v/>
      </c>
      <c r="BB225" s="392">
        <f>BA227</f>
        <v/>
      </c>
      <c r="BC225" s="392">
        <f>BB227</f>
        <v/>
      </c>
      <c r="BD225" s="392">
        <f>BC227</f>
        <v/>
      </c>
      <c r="BE225" s="392">
        <f>BD227</f>
        <v/>
      </c>
      <c r="BF225" s="392">
        <f>BE227</f>
        <v/>
      </c>
      <c r="BG225" s="392">
        <f>BF227</f>
        <v/>
      </c>
      <c r="BH225" s="392">
        <f>BG227</f>
        <v/>
      </c>
      <c r="BI225" s="392">
        <f>BH227</f>
        <v/>
      </c>
      <c r="BJ225" s="392">
        <f>BI227</f>
        <v/>
      </c>
      <c r="BK225" s="392">
        <f>BJ227</f>
        <v/>
      </c>
      <c r="BL225" s="392">
        <f>BK227</f>
        <v/>
      </c>
      <c r="BM225" s="392">
        <f>BL227</f>
        <v/>
      </c>
      <c r="BN225" s="392">
        <f>BM227</f>
        <v/>
      </c>
      <c r="BO225" s="392">
        <f>BN227</f>
        <v/>
      </c>
      <c r="BP225" s="392">
        <f>BO227</f>
        <v/>
      </c>
      <c r="BQ225" s="392">
        <f>BP227</f>
        <v/>
      </c>
      <c r="BR225" s="392">
        <f>BQ227</f>
        <v/>
      </c>
      <c r="BS225" s="392">
        <f>BR227</f>
        <v/>
      </c>
      <c r="BT225" s="392">
        <f>BS227</f>
        <v/>
      </c>
      <c r="BU225" s="392">
        <f>BT227</f>
        <v/>
      </c>
      <c r="BV225" s="392">
        <f>BU227</f>
        <v/>
      </c>
      <c r="BW225" s="392">
        <f>BV227</f>
        <v/>
      </c>
      <c r="BX225" s="392">
        <f>BW227</f>
        <v/>
      </c>
      <c r="BY225" s="392">
        <f>BX227</f>
        <v/>
      </c>
      <c r="BZ225" s="392">
        <f>BY227</f>
        <v/>
      </c>
      <c r="CA225" s="392">
        <f>BZ227</f>
        <v/>
      </c>
      <c r="CB225" s="392">
        <f>CA227</f>
        <v/>
      </c>
      <c r="CC225" s="392">
        <f>CB227</f>
        <v/>
      </c>
      <c r="CD225" s="392">
        <f>CC227</f>
        <v/>
      </c>
      <c r="CE225" s="392">
        <f>CD227</f>
        <v/>
      </c>
      <c r="CF225" s="392">
        <f>CE227</f>
        <v/>
      </c>
      <c r="CG225" s="392">
        <f>CF227</f>
        <v/>
      </c>
      <c r="CH225" s="392">
        <f>CG227</f>
        <v/>
      </c>
      <c r="CI225" s="392">
        <f>CH227</f>
        <v/>
      </c>
      <c r="CJ225" s="392">
        <f>CI227</f>
        <v/>
      </c>
      <c r="CK225" s="392">
        <f>CJ227</f>
        <v/>
      </c>
      <c r="CL225" s="392">
        <f>CK227</f>
        <v/>
      </c>
      <c r="CM225" s="392">
        <f>CL227</f>
        <v/>
      </c>
      <c r="CN225" s="392">
        <f>CM227</f>
        <v/>
      </c>
      <c r="CO225" s="392">
        <f>CN227</f>
        <v/>
      </c>
      <c r="CP225" s="392">
        <f>CO227</f>
        <v/>
      </c>
      <c r="CQ225" s="392">
        <f>CP227</f>
        <v/>
      </c>
      <c r="CR225" s="392">
        <f>CQ227</f>
        <v/>
      </c>
      <c r="CS225" s="392">
        <f>CR227</f>
        <v/>
      </c>
      <c r="CT225" s="392">
        <f>CS227</f>
        <v/>
      </c>
      <c r="CU225" s="392">
        <f>CT227</f>
        <v/>
      </c>
      <c r="CV225" s="392">
        <f>CU227</f>
        <v/>
      </c>
      <c r="CW225" s="392">
        <f>CV227</f>
        <v/>
      </c>
      <c r="CX225" s="392">
        <f>CW227</f>
        <v/>
      </c>
      <c r="CY225" s="392">
        <f>CX227</f>
        <v/>
      </c>
      <c r="CZ225" s="392">
        <f>CY227</f>
        <v/>
      </c>
      <c r="DA225" s="392">
        <f>CZ227</f>
        <v/>
      </c>
      <c r="DB225" s="392">
        <f>DA227</f>
        <v/>
      </c>
      <c r="DC225" s="392">
        <f>DB227</f>
        <v/>
      </c>
      <c r="DD225" s="392">
        <f>DC227</f>
        <v/>
      </c>
      <c r="DE225" s="392">
        <f>DD227</f>
        <v/>
      </c>
    </row>
    <row r="226" ht="15" customFormat="1" customHeight="1" s="380">
      <c r="A226" s="397" t="inlineStr">
        <is>
          <t>Annual Payment (25% tranche)</t>
        </is>
      </c>
      <c r="B226" s="392" t="n"/>
      <c r="C226" s="392" t="n"/>
      <c r="D226" s="392" t="n"/>
      <c r="E226" s="392" t="n">
        <v>0</v>
      </c>
      <c r="F226" s="392" t="n">
        <v>0</v>
      </c>
      <c r="G226" s="392" t="n">
        <v>0</v>
      </c>
      <c r="H226" s="392" t="n">
        <v>0</v>
      </c>
      <c r="I226" s="392" t="n">
        <v>0</v>
      </c>
      <c r="J226" s="392" t="n">
        <v>0</v>
      </c>
      <c r="K226" s="392" t="n">
        <v>0</v>
      </c>
      <c r="L226" s="392" t="n">
        <v>0</v>
      </c>
      <c r="M226" s="392" t="n">
        <v>0</v>
      </c>
      <c r="N226" s="392" t="n">
        <v>0</v>
      </c>
      <c r="O226" s="392">
        <f>IF(AND(O225&gt;0,SUM(B212:M212)&gt;=Assumptions!$B$43),-MIN(Assumptions!$B$42,O225),0)</f>
        <v/>
      </c>
      <c r="P226" s="392" t="n">
        <v>0</v>
      </c>
      <c r="Q226" s="392" t="n">
        <v>0</v>
      </c>
      <c r="R226" s="392" t="n">
        <v>0</v>
      </c>
      <c r="S226" s="392" t="n">
        <v>0</v>
      </c>
      <c r="T226" s="392" t="n">
        <v>0</v>
      </c>
      <c r="U226" s="392" t="n">
        <v>0</v>
      </c>
      <c r="V226" s="392" t="n">
        <v>0</v>
      </c>
      <c r="W226" s="392" t="n">
        <v>0</v>
      </c>
      <c r="X226" s="392" t="n">
        <v>0</v>
      </c>
      <c r="Y226" s="392" t="n">
        <v>0</v>
      </c>
      <c r="Z226" s="392" t="n">
        <v>0</v>
      </c>
      <c r="AA226" s="392">
        <f>IF(AND(AA225&gt;0,SUM(N212:Y212)&gt;=Assumptions!$B$43),-MIN(Assumptions!$B$42,AA225),0)</f>
        <v/>
      </c>
      <c r="AB226" s="392" t="n">
        <v>0</v>
      </c>
      <c r="AC226" s="392" t="n">
        <v>0</v>
      </c>
      <c r="AD226" s="392" t="n">
        <v>0</v>
      </c>
      <c r="AE226" s="392" t="n">
        <v>0</v>
      </c>
      <c r="AF226" s="392" t="n">
        <v>0</v>
      </c>
      <c r="AG226" s="392" t="n">
        <v>0</v>
      </c>
      <c r="AH226" s="392" t="n">
        <v>0</v>
      </c>
      <c r="AI226" s="392" t="n">
        <v>0</v>
      </c>
      <c r="AJ226" s="392" t="n">
        <v>0</v>
      </c>
      <c r="AK226" s="392" t="n">
        <v>0</v>
      </c>
      <c r="AL226" s="392" t="n">
        <v>0</v>
      </c>
      <c r="AM226" s="392">
        <f>IF(AND(AM225&gt;0,SUM(Z212:AK212)&gt;=Assumptions!$B$43),-MIN(Assumptions!$B$42,AM225),0)</f>
        <v/>
      </c>
      <c r="AN226" s="392" t="n">
        <v>0</v>
      </c>
      <c r="AO226" s="392" t="n">
        <v>0</v>
      </c>
      <c r="AP226" s="392" t="n">
        <v>0</v>
      </c>
      <c r="AQ226" s="392" t="n">
        <v>0</v>
      </c>
      <c r="AR226" s="392" t="n">
        <v>0</v>
      </c>
      <c r="AS226" s="392" t="n">
        <v>0</v>
      </c>
      <c r="AT226" s="392" t="n">
        <v>0</v>
      </c>
      <c r="AU226" s="392" t="n">
        <v>0</v>
      </c>
      <c r="AV226" s="392" t="n">
        <v>0</v>
      </c>
      <c r="AW226" s="392" t="n">
        <v>0</v>
      </c>
      <c r="AX226" s="392" t="n">
        <v>0</v>
      </c>
      <c r="AY226" s="392">
        <f>IF(AND(AY225&gt;0,SUM(AL212:AW212)&gt;=Assumptions!$B$43),-MIN(Assumptions!$B$42,AY225),0)</f>
        <v/>
      </c>
      <c r="AZ226" s="392" t="n">
        <v>0</v>
      </c>
      <c r="BA226" s="392" t="n">
        <v>0</v>
      </c>
      <c r="BB226" s="392" t="n">
        <v>0</v>
      </c>
      <c r="BC226" s="392" t="n">
        <v>0</v>
      </c>
      <c r="BD226" s="392" t="n">
        <v>0</v>
      </c>
      <c r="BE226" s="392" t="n">
        <v>0</v>
      </c>
      <c r="BF226" s="392" t="n">
        <v>0</v>
      </c>
      <c r="BG226" s="392" t="n">
        <v>0</v>
      </c>
      <c r="BH226" s="392" t="n">
        <v>0</v>
      </c>
      <c r="BI226" s="392" t="n">
        <v>0</v>
      </c>
      <c r="BJ226" s="392" t="n">
        <v>0</v>
      </c>
      <c r="BK226" s="392">
        <f>IF(AND(BK225&gt;0,SUM(AX212:BI212)&gt;=Assumptions!$B$43),-MIN(Assumptions!$B$42,BK225),0)</f>
        <v/>
      </c>
      <c r="BL226" s="392" t="n">
        <v>0</v>
      </c>
      <c r="BM226" s="392" t="n">
        <v>0</v>
      </c>
      <c r="BN226" s="392" t="n">
        <v>0</v>
      </c>
      <c r="BO226" s="392" t="n">
        <v>0</v>
      </c>
      <c r="BP226" s="392" t="n">
        <v>0</v>
      </c>
      <c r="BQ226" s="392" t="n">
        <v>0</v>
      </c>
      <c r="BR226" s="392" t="n">
        <v>0</v>
      </c>
      <c r="BS226" s="392" t="n">
        <v>0</v>
      </c>
      <c r="BT226" s="392" t="n">
        <v>0</v>
      </c>
      <c r="BU226" s="392" t="n">
        <v>0</v>
      </c>
      <c r="BV226" s="392" t="n">
        <v>0</v>
      </c>
      <c r="BW226" s="392">
        <f>IF(AND(BW225&gt;0,SUM(BJ212:BU212)&gt;=Assumptions!$B$43),-MIN(Assumptions!$B$42,BW225),0)</f>
        <v/>
      </c>
      <c r="BX226" s="392" t="n">
        <v>0</v>
      </c>
      <c r="BY226" s="392" t="n">
        <v>0</v>
      </c>
      <c r="BZ226" s="392" t="n">
        <v>0</v>
      </c>
      <c r="CA226" s="392" t="n">
        <v>0</v>
      </c>
      <c r="CB226" s="392" t="n">
        <v>0</v>
      </c>
      <c r="CC226" s="392" t="n">
        <v>0</v>
      </c>
      <c r="CD226" s="392" t="n">
        <v>0</v>
      </c>
      <c r="CE226" s="392" t="n">
        <v>0</v>
      </c>
      <c r="CF226" s="392" t="n">
        <v>0</v>
      </c>
      <c r="CG226" s="392" t="n">
        <v>0</v>
      </c>
      <c r="CH226" s="392" t="n">
        <v>0</v>
      </c>
      <c r="CI226" s="392">
        <f>IF(AND(CI225&gt;0,SUM(BV212:CG212)&gt;=Assumptions!$B$43),-MIN(Assumptions!$B$42,CI225),0)</f>
        <v/>
      </c>
      <c r="CJ226" s="392" t="n">
        <v>0</v>
      </c>
      <c r="CK226" s="392" t="n">
        <v>0</v>
      </c>
      <c r="CL226" s="392" t="n">
        <v>0</v>
      </c>
      <c r="CM226" s="392" t="n">
        <v>0</v>
      </c>
      <c r="CN226" s="392" t="n">
        <v>0</v>
      </c>
      <c r="CO226" s="392" t="n">
        <v>0</v>
      </c>
      <c r="CP226" s="392" t="n">
        <v>0</v>
      </c>
      <c r="CQ226" s="392" t="n">
        <v>0</v>
      </c>
      <c r="CR226" s="392" t="n">
        <v>0</v>
      </c>
      <c r="CS226" s="392" t="n">
        <v>0</v>
      </c>
      <c r="CT226" s="392" t="n"/>
      <c r="CU226" s="392" t="n"/>
      <c r="CV226" s="392" t="n"/>
      <c r="CW226" s="392" t="n"/>
      <c r="CX226" s="392" t="n"/>
      <c r="CY226" s="392" t="n"/>
      <c r="CZ226" s="392" t="n"/>
      <c r="DA226" s="392" t="n"/>
      <c r="DB226" s="392" t="n"/>
      <c r="DC226" s="392" t="n"/>
      <c r="DD226" s="392" t="n"/>
      <c r="DE226" s="392" t="n"/>
    </row>
    <row r="227" ht="15" customFormat="1" customHeight="1" s="380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Format="1" customHeight="1" s="380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Format="1" customHeight="1" s="380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Format="1" customHeight="1" s="380">
      <c r="A230" s="397" t="inlineStr">
        <is>
          <t>Klump - Beginning Balance</t>
        </is>
      </c>
      <c r="B230" s="401" t="n"/>
      <c r="C230" s="401" t="n"/>
      <c r="D230" s="401" t="n"/>
      <c r="E230" s="401">
        <f>IF(AND(Projects!$G$11="Yes",Projects!$C$11&lt;=1),Assumptions!$B$60,0)</f>
        <v/>
      </c>
      <c r="F230" s="401">
        <f>IF(AND(Projects!$G$11="Yes",2=Projects!$C$11),Assumptions!$B$60,E234)</f>
        <v/>
      </c>
      <c r="G230" s="401">
        <f>IF(AND(Projects!$G$11="Yes",3=Projects!$C$11),Assumptions!$B$60,F234)</f>
        <v/>
      </c>
      <c r="H230" s="401">
        <f>IF(AND(Projects!$G$11="Yes",4=Projects!$C$11),Assumptions!$B$60,G234)</f>
        <v/>
      </c>
      <c r="I230" s="401">
        <f>IF(AND(Projects!$G$11="Yes",5=Projects!$C$11),Assumptions!$B$60,H234)</f>
        <v/>
      </c>
      <c r="J230" s="401">
        <f>IF(AND(Projects!$G$11="Yes",6=Projects!$C$11),Assumptions!$B$60,I234)</f>
        <v/>
      </c>
      <c r="K230" s="401">
        <f>IF(AND(Projects!$G$11="Yes",7=Projects!$C$11),Assumptions!$B$60,J234)</f>
        <v/>
      </c>
      <c r="L230" s="401">
        <f>IF(AND(Projects!$G$11="Yes",8=Projects!$C$11),Assumptions!$B$60,K234)</f>
        <v/>
      </c>
      <c r="M230" s="401">
        <f>IF(AND(Projects!$G$11="Yes",9=Projects!$C$11),Assumptions!$B$60,L234)</f>
        <v/>
      </c>
      <c r="N230" s="401">
        <f>IF(AND(Projects!$G$11="Yes",10=Projects!$C$11),Assumptions!$B$60,M234)</f>
        <v/>
      </c>
      <c r="O230" s="401">
        <f>IF(AND(Projects!$G$11="Yes",11=Projects!$C$11),Assumptions!$B$60,N234)</f>
        <v/>
      </c>
      <c r="P230" s="401">
        <f>IF(AND(Projects!$G$11="Yes",12=Projects!$C$11),Assumptions!$B$60,O234)</f>
        <v/>
      </c>
      <c r="Q230" s="401">
        <f>IF(AND(Projects!$G$11="Yes",13=Projects!$C$11),Assumptions!$B$60,P234)</f>
        <v/>
      </c>
      <c r="R230" s="401">
        <f>IF(AND(Projects!$G$11="Yes",14=Projects!$C$11),Assumptions!$B$60,Q234)</f>
        <v/>
      </c>
      <c r="S230" s="401">
        <f>IF(AND(Projects!$G$11="Yes",15=Projects!$C$11),Assumptions!$B$60,R234)</f>
        <v/>
      </c>
      <c r="T230" s="401">
        <f>IF(AND(Projects!$G$11="Yes",16=Projects!$C$11),Assumptions!$B$60,S234)</f>
        <v/>
      </c>
      <c r="U230" s="401">
        <f>IF(AND(Projects!$G$11="Yes",17=Projects!$C$11),Assumptions!$B$60,T234)</f>
        <v/>
      </c>
      <c r="V230" s="401">
        <f>IF(AND(Projects!$G$11="Yes",18=Projects!$C$11),Assumptions!$B$60,U234)</f>
        <v/>
      </c>
      <c r="W230" s="401">
        <f>IF(AND(Projects!$G$11="Yes",19=Projects!$C$11),Assumptions!$B$60,V234)</f>
        <v/>
      </c>
      <c r="X230" s="401">
        <f>IF(AND(Projects!$G$11="Yes",20=Projects!$C$11),Assumptions!$B$60,W234)</f>
        <v/>
      </c>
      <c r="Y230" s="401">
        <f>IF(AND(Projects!$G$11="Yes",21=Projects!$C$11),Assumptions!$B$60,X234)</f>
        <v/>
      </c>
      <c r="Z230" s="401">
        <f>IF(AND(Projects!$G$11="Yes",22=Projects!$C$11),Assumptions!$B$60,Y234)</f>
        <v/>
      </c>
      <c r="AA230" s="401">
        <f>IF(AND(Projects!$G$11="Yes",23=Projects!$C$11),Assumptions!$B$60,Z234)</f>
        <v/>
      </c>
      <c r="AB230" s="401">
        <f>IF(AND(Projects!$G$11="Yes",24=Projects!$C$11),Assumptions!$B$60,AA234)</f>
        <v/>
      </c>
      <c r="AC230" s="401">
        <f>IF(AND(Projects!$G$11="Yes",25=Projects!$C$11),Assumptions!$B$60,AB234)</f>
        <v/>
      </c>
      <c r="AD230" s="401">
        <f>IF(AND(Projects!$G$11="Yes",26=Projects!$C$11),Assumptions!$B$60,AC234)</f>
        <v/>
      </c>
      <c r="AE230" s="401">
        <f>IF(AND(Projects!$G$11="Yes",27=Projects!$C$11),Assumptions!$B$60,AD234)</f>
        <v/>
      </c>
      <c r="AF230" s="401">
        <f>IF(AND(Projects!$G$11="Yes",28=Projects!$C$11),Assumptions!$B$60,AE234)</f>
        <v/>
      </c>
      <c r="AG230" s="401">
        <f>IF(AND(Projects!$G$11="Yes",29=Projects!$C$11),Assumptions!$B$60,AF234)</f>
        <v/>
      </c>
      <c r="AH230" s="401">
        <f>IF(AND(Projects!$G$11="Yes",30=Projects!$C$11),Assumptions!$B$60,AG234)</f>
        <v/>
      </c>
      <c r="AI230" s="401">
        <f>IF(AND(Projects!$G$11="Yes",31=Projects!$C$11),Assumptions!$B$60,AH234)</f>
        <v/>
      </c>
      <c r="AJ230" s="401">
        <f>IF(AND(Projects!$G$11="Yes",32=Projects!$C$11),Assumptions!$B$60,AI234)</f>
        <v/>
      </c>
      <c r="AK230" s="401">
        <f>IF(AND(Projects!$G$11="Yes",33=Projects!$C$11),Assumptions!$B$60,AJ234)</f>
        <v/>
      </c>
      <c r="AL230" s="401">
        <f>IF(AND(Projects!$G$11="Yes",34=Projects!$C$11),Assumptions!$B$60,AK234)</f>
        <v/>
      </c>
      <c r="AM230" s="401">
        <f>IF(AND(Projects!$G$11="Yes",35=Projects!$C$11),Assumptions!$B$60,AL234)</f>
        <v/>
      </c>
      <c r="AN230" s="401">
        <f>IF(AND(Projects!$G$11="Yes",36=Projects!$C$11),Assumptions!$B$60,AM234)</f>
        <v/>
      </c>
      <c r="AO230" s="401">
        <f>IF(AND(Projects!$G$11="Yes",37=Projects!$C$11),Assumptions!$B$60,AN234)</f>
        <v/>
      </c>
      <c r="AP230" s="401">
        <f>IF(AND(Projects!$G$11="Yes",38=Projects!$C$11),Assumptions!$B$60,AO234)</f>
        <v/>
      </c>
      <c r="AQ230" s="401">
        <f>IF(AND(Projects!$G$11="Yes",39=Projects!$C$11),Assumptions!$B$60,AP234)</f>
        <v/>
      </c>
      <c r="AR230" s="401">
        <f>IF(AND(Projects!$G$11="Yes",40=Projects!$C$11),Assumptions!$B$60,AQ234)</f>
        <v/>
      </c>
      <c r="AS230" s="401">
        <f>IF(AND(Projects!$G$11="Yes",41=Projects!$C$11),Assumptions!$B$60,AR234)</f>
        <v/>
      </c>
      <c r="AT230" s="401">
        <f>IF(AND(Projects!$G$11="Yes",42=Projects!$C$11),Assumptions!$B$60,AS234)</f>
        <v/>
      </c>
      <c r="AU230" s="401">
        <f>IF(AND(Projects!$G$11="Yes",43=Projects!$C$11),Assumptions!$B$60,AT234)</f>
        <v/>
      </c>
      <c r="AV230" s="401">
        <f>IF(AND(Projects!$G$11="Yes",44=Projects!$C$11),Assumptions!$B$60,AU234)</f>
        <v/>
      </c>
      <c r="AW230" s="401">
        <f>IF(AND(Projects!$G$11="Yes",45=Projects!$C$11),Assumptions!$B$60,AV234)</f>
        <v/>
      </c>
      <c r="AX230" s="401">
        <f>IF(AND(Projects!$G$11="Yes",46=Projects!$C$11),Assumptions!$B$60,AW234)</f>
        <v/>
      </c>
      <c r="AY230" s="401">
        <f>IF(AND(Projects!$G$11="Yes",47=Projects!$C$11),Assumptions!$B$60,AX234)</f>
        <v/>
      </c>
      <c r="AZ230" s="401">
        <f>IF(AND(Projects!$G$11="Yes",48=Projects!$C$11),Assumptions!$B$60,AY234)</f>
        <v/>
      </c>
      <c r="BA230" s="401">
        <f>IF(AND(Projects!$G$11="Yes",49=Projects!$C$11),Assumptions!$B$60,AZ234)</f>
        <v/>
      </c>
      <c r="BB230" s="401">
        <f>IF(AND(Projects!$G$11="Yes",50=Projects!$C$11),Assumptions!$B$60,BA234)</f>
        <v/>
      </c>
      <c r="BC230" s="401">
        <f>IF(AND(Projects!$G$11="Yes",51=Projects!$C$11),Assumptions!$B$60,BB234)</f>
        <v/>
      </c>
      <c r="BD230" s="401">
        <f>IF(AND(Projects!$G$11="Yes",52=Projects!$C$11),Assumptions!$B$60,BC234)</f>
        <v/>
      </c>
      <c r="BE230" s="401">
        <f>IF(AND(Projects!$G$11="Yes",53=Projects!$C$11),Assumptions!$B$60,BD234)</f>
        <v/>
      </c>
      <c r="BF230" s="401">
        <f>IF(AND(Projects!$G$11="Yes",54=Projects!$C$11),Assumptions!$B$60,BE234)</f>
        <v/>
      </c>
      <c r="BG230" s="401">
        <f>IF(AND(Projects!$G$11="Yes",55=Projects!$C$11),Assumptions!$B$60,BF234)</f>
        <v/>
      </c>
      <c r="BH230" s="401">
        <f>IF(AND(Projects!$G$11="Yes",56=Projects!$C$11),Assumptions!$B$60,BG234)</f>
        <v/>
      </c>
      <c r="BI230" s="401">
        <f>IF(AND(Projects!$G$11="Yes",57=Projects!$C$11),Assumptions!$B$60,BH234)</f>
        <v/>
      </c>
      <c r="BJ230" s="401">
        <f>IF(AND(Projects!$G$11="Yes",58=Projects!$C$11),Assumptions!$B$60,BI234)</f>
        <v/>
      </c>
      <c r="BK230" s="401">
        <f>IF(AND(Projects!$G$11="Yes",59=Projects!$C$11),Assumptions!$B$60,BJ234)</f>
        <v/>
      </c>
      <c r="BL230" s="401">
        <f>IF(AND(Projects!$G$11="Yes",60=Projects!$C$11),Assumptions!$B$60,BK234)</f>
        <v/>
      </c>
      <c r="BM230" s="401">
        <f>IF(AND(Projects!$G$11="Yes",61=Projects!$C$11),Assumptions!$B$60,BL234)</f>
        <v/>
      </c>
      <c r="BN230" s="401">
        <f>IF(AND(Projects!$G$11="Yes",62=Projects!$C$11),Assumptions!$B$60,BM234)</f>
        <v/>
      </c>
      <c r="BO230" s="401">
        <f>IF(AND(Projects!$G$11="Yes",63=Projects!$C$11),Assumptions!$B$60,BN234)</f>
        <v/>
      </c>
      <c r="BP230" s="401">
        <f>IF(AND(Projects!$G$11="Yes",64=Projects!$C$11),Assumptions!$B$60,BO234)</f>
        <v/>
      </c>
      <c r="BQ230" s="401">
        <f>IF(AND(Projects!$G$11="Yes",65=Projects!$C$11),Assumptions!$B$60,BP234)</f>
        <v/>
      </c>
      <c r="BR230" s="401">
        <f>IF(AND(Projects!$G$11="Yes",66=Projects!$C$11),Assumptions!$B$60,BQ234)</f>
        <v/>
      </c>
      <c r="BS230" s="401">
        <f>IF(AND(Projects!$G$11="Yes",67=Projects!$C$11),Assumptions!$B$60,BR234)</f>
        <v/>
      </c>
      <c r="BT230" s="401">
        <f>IF(AND(Projects!$G$11="Yes",68=Projects!$C$11),Assumptions!$B$60,BS234)</f>
        <v/>
      </c>
      <c r="BU230" s="401">
        <f>IF(AND(Projects!$G$11="Yes",69=Projects!$C$11),Assumptions!$B$60,BT234)</f>
        <v/>
      </c>
      <c r="BV230" s="401">
        <f>IF(AND(Projects!$G$11="Yes",70=Projects!$C$11),Assumptions!$B$60,BU234)</f>
        <v/>
      </c>
      <c r="BW230" s="401">
        <f>IF(AND(Projects!$G$11="Yes",71=Projects!$C$11),Assumptions!$B$60,BV234)</f>
        <v/>
      </c>
      <c r="BX230" s="401">
        <f>IF(AND(Projects!$G$11="Yes",72=Projects!$C$11),Assumptions!$B$60,BW234)</f>
        <v/>
      </c>
      <c r="BY230" s="401">
        <f>IF(AND(Projects!$G$11="Yes",73=Projects!$C$11),Assumptions!$B$60,BX234)</f>
        <v/>
      </c>
      <c r="BZ230" s="401">
        <f>IF(AND(Projects!$G$11="Yes",74=Projects!$C$11),Assumptions!$B$60,BY234)</f>
        <v/>
      </c>
      <c r="CA230" s="401">
        <f>IF(AND(Projects!$G$11="Yes",75=Projects!$C$11),Assumptions!$B$60,BZ234)</f>
        <v/>
      </c>
      <c r="CB230" s="401">
        <f>IF(AND(Projects!$G$11="Yes",76=Projects!$C$11),Assumptions!$B$60,CA234)</f>
        <v/>
      </c>
      <c r="CC230" s="401">
        <f>IF(AND(Projects!$G$11="Yes",77=Projects!$C$11),Assumptions!$B$60,CB234)</f>
        <v/>
      </c>
      <c r="CD230" s="401">
        <f>IF(AND(Projects!$G$11="Yes",78=Projects!$C$11),Assumptions!$B$60,CC234)</f>
        <v/>
      </c>
      <c r="CE230" s="401">
        <f>IF(AND(Projects!$G$11="Yes",79=Projects!$C$11),Assumptions!$B$60,CD234)</f>
        <v/>
      </c>
      <c r="CF230" s="401">
        <f>IF(AND(Projects!$G$11="Yes",80=Projects!$C$11),Assumptions!$B$60,CE234)</f>
        <v/>
      </c>
      <c r="CG230" s="401">
        <f>IF(AND(Projects!$G$11="Yes",81=Projects!$C$11),Assumptions!$B$60,CF234)</f>
        <v/>
      </c>
      <c r="CH230" s="401">
        <f>IF(AND(Projects!$G$11="Yes",82=Projects!$C$11),Assumptions!$B$60,CG234)</f>
        <v/>
      </c>
      <c r="CI230" s="401">
        <f>IF(AND(Projects!$G$11="Yes",83=Projects!$C$11),Assumptions!$B$60,CH234)</f>
        <v/>
      </c>
      <c r="CJ230" s="401">
        <f>IF(AND(Projects!$G$11="Yes",84=Projects!$C$11),Assumptions!$B$60,CI234)</f>
        <v/>
      </c>
      <c r="CK230" s="401">
        <f>IF(AND(Projects!$G$11="Yes",85=Projects!$C$11),Assumptions!$B$60,CJ234)</f>
        <v/>
      </c>
      <c r="CL230" s="401">
        <f>IF(AND(Projects!$G$11="Yes",86=Projects!$C$11),Assumptions!$B$60,CK234)</f>
        <v/>
      </c>
      <c r="CM230" s="401">
        <f>IF(AND(Projects!$G$11="Yes",87=Projects!$C$11),Assumptions!$B$60,CL234)</f>
        <v/>
      </c>
      <c r="CN230" s="401">
        <f>IF(AND(Projects!$G$11="Yes",88=Projects!$C$11),Assumptions!$B$60,CM234)</f>
        <v/>
      </c>
      <c r="CO230" s="401">
        <f>IF(AND(Projects!$G$11="Yes",89=Projects!$C$11),Assumptions!$B$60,CN234)</f>
        <v/>
      </c>
      <c r="CP230" s="401">
        <f>IF(AND(Projects!$G$11="Yes",90=Projects!$C$11),Assumptions!$B$60,CO234)</f>
        <v/>
      </c>
      <c r="CQ230" s="401">
        <f>IF(AND(Projects!$G$11="Yes",91=Projects!$C$11),Assumptions!$B$60,CP234)</f>
        <v/>
      </c>
      <c r="CR230" s="401">
        <f>IF(AND(Projects!$G$11="Yes",92=Projects!$C$11),Assumptions!$B$60,CQ234)</f>
        <v/>
      </c>
      <c r="CS230" s="401">
        <f>IF(AND(Projects!$G$11="Yes",93=Projects!$C$11),Assumptions!$B$60,CR234)</f>
        <v/>
      </c>
      <c r="CT230" s="401">
        <f>IF(AND(Projects!$G$11="Yes",94=Projects!$C$11),Assumptions!$B$60,CS234)</f>
        <v/>
      </c>
      <c r="CU230" s="401">
        <f>IF(AND(Projects!$G$11="Yes",95=Projects!$C$11),Assumptions!$B$60,CT234)</f>
        <v/>
      </c>
      <c r="CV230" s="401">
        <f>IF(AND(Projects!$G$11="Yes",96=Projects!$C$11),Assumptions!$B$60,CU234)</f>
        <v/>
      </c>
      <c r="CW230" s="401">
        <f>IF(AND(Projects!$G$11="Yes",97=Projects!$C$11),Assumptions!$B$60,CV234)</f>
        <v/>
      </c>
      <c r="CX230" s="401">
        <f>IF(AND(Projects!$G$11="Yes",98=Projects!$C$11),Assumptions!$B$60,CW234)</f>
        <v/>
      </c>
      <c r="CY230" s="401">
        <f>IF(AND(Projects!$G$11="Yes",99=Projects!$C$11),Assumptions!$B$60,CX234)</f>
        <v/>
      </c>
      <c r="CZ230" s="401">
        <f>IF(AND(Projects!$G$11="Yes",100=Projects!$C$11),Assumptions!$B$60,CY234)</f>
        <v/>
      </c>
      <c r="DA230" s="401">
        <f>IF(AND(Projects!$G$11="Yes",101=Projects!$C$11),Assumptions!$B$60,CZ234)</f>
        <v/>
      </c>
      <c r="DB230" s="401">
        <f>IF(AND(Projects!$G$11="Yes",102=Projects!$C$11),Assumptions!$B$60,DA234)</f>
        <v/>
      </c>
      <c r="DC230" s="401">
        <f>IF(AND(Projects!$G$11="Yes",103=Projects!$C$11),Assumptions!$B$60,DB234)</f>
        <v/>
      </c>
      <c r="DD230" s="401">
        <f>IF(AND(Projects!$G$11="Yes",104=Projects!$C$11),Assumptions!$B$60,DC234)</f>
        <v/>
      </c>
      <c r="DE230" s="401">
        <f>IF(AND(Projects!$G$11="Yes",105=Projects!$C$11),Assumptions!$B$60,DD234)</f>
        <v/>
      </c>
    </row>
    <row r="231" ht="15" customFormat="1" customHeight="1" s="380">
      <c r="A231" s="397" t="inlineStr">
        <is>
          <t>Klump - Quarterly Interest</t>
        </is>
      </c>
      <c r="B231" s="401" t="n"/>
      <c r="C231" s="401" t="n"/>
      <c r="D231" s="401" t="n"/>
      <c r="E231" s="401">
        <f>IF(AND(MOD(1,3)=0,E230&gt;0),E230*Assumptions!$B$59,0)</f>
        <v/>
      </c>
      <c r="F231" s="401">
        <f>IF(AND(MOD(2,3)=0,F230&gt;0),F230*Assumptions!$B$59,0)</f>
        <v/>
      </c>
      <c r="G231" s="401">
        <f>IF(AND(MOD(3,3)=0,G230&gt;0),G230*Assumptions!$B$59,0)</f>
        <v/>
      </c>
      <c r="H231" s="401">
        <f>IF(AND(MOD(4,3)=0,H230&gt;0),H230*Assumptions!$B$59,0)</f>
        <v/>
      </c>
      <c r="I231" s="401">
        <f>IF(AND(MOD(5,3)=0,I230&gt;0),I230*Assumptions!$B$59,0)</f>
        <v/>
      </c>
      <c r="J231" s="401">
        <f>IF(AND(MOD(6,3)=0,J230&gt;0),J230*Assumptions!$B$59,0)</f>
        <v/>
      </c>
      <c r="K231" s="401">
        <f>IF(AND(MOD(7,3)=0,K230&gt;0),K230*Assumptions!$B$59,0)</f>
        <v/>
      </c>
      <c r="L231" s="401">
        <f>IF(AND(MOD(8,3)=0,L230&gt;0),L230*Assumptions!$B$59,0)</f>
        <v/>
      </c>
      <c r="M231" s="401">
        <f>IF(AND(MOD(9,3)=0,M230&gt;0),M230*Assumptions!$B$59,0)</f>
        <v/>
      </c>
      <c r="N231" s="401">
        <f>IF(AND(MOD(10,3)=0,N230&gt;0),N230*Assumptions!$B$59,0)</f>
        <v/>
      </c>
      <c r="O231" s="401">
        <f>IF(AND(MOD(11,3)=0,O230&gt;0),O230*Assumptions!$B$59,0)</f>
        <v/>
      </c>
      <c r="P231" s="401">
        <f>IF(AND(MOD(12,3)=0,P230&gt;0),P230*Assumptions!$B$59,0)</f>
        <v/>
      </c>
      <c r="Q231" s="401">
        <f>IF(AND(MOD(13,3)=0,Q230&gt;0),Q230*Assumptions!$B$59,0)</f>
        <v/>
      </c>
      <c r="R231" s="401">
        <f>IF(AND(MOD(14,3)=0,R230&gt;0),R230*Assumptions!$B$59,0)</f>
        <v/>
      </c>
      <c r="S231" s="401">
        <f>IF(AND(MOD(15,3)=0,S230&gt;0),S230*Assumptions!$B$59,0)</f>
        <v/>
      </c>
      <c r="T231" s="401">
        <f>IF(AND(MOD(16,3)=0,T230&gt;0),T230*Assumptions!$B$59,0)</f>
        <v/>
      </c>
      <c r="U231" s="401">
        <f>IF(AND(MOD(17,3)=0,U230&gt;0),U230*Assumptions!$B$59,0)</f>
        <v/>
      </c>
      <c r="V231" s="401">
        <f>IF(AND(MOD(18,3)=0,V230&gt;0),V230*Assumptions!$B$59,0)</f>
        <v/>
      </c>
      <c r="W231" s="401">
        <f>IF(AND(MOD(19,3)=0,W230&gt;0),W230*Assumptions!$B$59,0)</f>
        <v/>
      </c>
      <c r="X231" s="401">
        <f>IF(AND(MOD(20,3)=0,X230&gt;0),X230*Assumptions!$B$59,0)</f>
        <v/>
      </c>
      <c r="Y231" s="401">
        <f>IF(AND(MOD(21,3)=0,Y230&gt;0),Y230*Assumptions!$B$59,0)</f>
        <v/>
      </c>
      <c r="Z231" s="401">
        <f>IF(AND(MOD(22,3)=0,Z230&gt;0),Z230*Assumptions!$B$59,0)</f>
        <v/>
      </c>
      <c r="AA231" s="401">
        <f>IF(AND(MOD(23,3)=0,AA230&gt;0),AA230*Assumptions!$B$59,0)</f>
        <v/>
      </c>
      <c r="AB231" s="401">
        <f>IF(AND(MOD(24,3)=0,AB230&gt;0),AB230*Assumptions!$B$59,0)</f>
        <v/>
      </c>
      <c r="AC231" s="401">
        <f>IF(AND(MOD(25,3)=0,AC230&gt;0),AC230*Assumptions!$B$59,0)</f>
        <v/>
      </c>
      <c r="AD231" s="401">
        <f>IF(AND(MOD(26,3)=0,AD230&gt;0),AD230*Assumptions!$B$59,0)</f>
        <v/>
      </c>
      <c r="AE231" s="401">
        <f>IF(AND(MOD(27,3)=0,AE230&gt;0),AE230*Assumptions!$B$59,0)</f>
        <v/>
      </c>
      <c r="AF231" s="401">
        <f>IF(AND(MOD(28,3)=0,AF230&gt;0),AF230*Assumptions!$B$59,0)</f>
        <v/>
      </c>
      <c r="AG231" s="401">
        <f>IF(AND(MOD(29,3)=0,AG230&gt;0),AG230*Assumptions!$B$59,0)</f>
        <v/>
      </c>
      <c r="AH231" s="401">
        <f>IF(AND(MOD(30,3)=0,AH230&gt;0),AH230*Assumptions!$B$59,0)</f>
        <v/>
      </c>
      <c r="AI231" s="401">
        <f>IF(AND(MOD(31,3)=0,AI230&gt;0),AI230*Assumptions!$B$59,0)</f>
        <v/>
      </c>
      <c r="AJ231" s="401">
        <f>IF(AND(MOD(32,3)=0,AJ230&gt;0),AJ230*Assumptions!$B$59,0)</f>
        <v/>
      </c>
      <c r="AK231" s="401">
        <f>IF(AND(MOD(33,3)=0,AK230&gt;0),AK230*Assumptions!$B$59,0)</f>
        <v/>
      </c>
      <c r="AL231" s="401">
        <f>IF(AND(MOD(34,3)=0,AL230&gt;0),AL230*Assumptions!$B$59,0)</f>
        <v/>
      </c>
      <c r="AM231" s="401">
        <f>IF(AND(MOD(35,3)=0,AM230&gt;0),AM230*Assumptions!$B$59,0)</f>
        <v/>
      </c>
      <c r="AN231" s="401">
        <f>IF(AND(MOD(36,3)=0,AN230&gt;0),AN230*Assumptions!$B$59,0)</f>
        <v/>
      </c>
      <c r="AO231" s="401">
        <f>IF(AND(MOD(37,3)=0,AO230&gt;0),AO230*Assumptions!$B$59,0)</f>
        <v/>
      </c>
      <c r="AP231" s="401">
        <f>IF(AND(MOD(38,3)=0,AP230&gt;0),AP230*Assumptions!$B$59,0)</f>
        <v/>
      </c>
      <c r="AQ231" s="401">
        <f>IF(AND(MOD(39,3)=0,AQ230&gt;0),AQ230*Assumptions!$B$59,0)</f>
        <v/>
      </c>
      <c r="AR231" s="401">
        <f>IF(AND(MOD(40,3)=0,AR230&gt;0),AR230*Assumptions!$B$59,0)</f>
        <v/>
      </c>
      <c r="AS231" s="401">
        <f>IF(AND(MOD(41,3)=0,AS230&gt;0),AS230*Assumptions!$B$59,0)</f>
        <v/>
      </c>
      <c r="AT231" s="401">
        <f>IF(AND(MOD(42,3)=0,AT230&gt;0),AT230*Assumptions!$B$59,0)</f>
        <v/>
      </c>
      <c r="AU231" s="401">
        <f>IF(AND(MOD(43,3)=0,AU230&gt;0),AU230*Assumptions!$B$59,0)</f>
        <v/>
      </c>
      <c r="AV231" s="401">
        <f>IF(AND(MOD(44,3)=0,AV230&gt;0),AV230*Assumptions!$B$59,0)</f>
        <v/>
      </c>
      <c r="AW231" s="401">
        <f>IF(AND(MOD(45,3)=0,AW230&gt;0),AW230*Assumptions!$B$59,0)</f>
        <v/>
      </c>
      <c r="AX231" s="401">
        <f>IF(AND(MOD(46,3)=0,AX230&gt;0),AX230*Assumptions!$B$59,0)</f>
        <v/>
      </c>
      <c r="AY231" s="401">
        <f>IF(AND(MOD(47,3)=0,AY230&gt;0),AY230*Assumptions!$B$59,0)</f>
        <v/>
      </c>
      <c r="AZ231" s="401">
        <f>IF(AND(MOD(48,3)=0,AZ230&gt;0),AZ230*Assumptions!$B$59,0)</f>
        <v/>
      </c>
      <c r="BA231" s="401">
        <f>IF(AND(MOD(49,3)=0,BA230&gt;0),BA230*Assumptions!$B$59,0)</f>
        <v/>
      </c>
      <c r="BB231" s="401">
        <f>IF(AND(MOD(50,3)=0,BB230&gt;0),BB230*Assumptions!$B$59,0)</f>
        <v/>
      </c>
      <c r="BC231" s="401">
        <f>IF(AND(MOD(51,3)=0,BC230&gt;0),BC230*Assumptions!$B$59,0)</f>
        <v/>
      </c>
      <c r="BD231" s="401">
        <f>IF(AND(MOD(52,3)=0,BD230&gt;0),BD230*Assumptions!$B$59,0)</f>
        <v/>
      </c>
      <c r="BE231" s="401">
        <f>IF(AND(MOD(53,3)=0,BE230&gt;0),BE230*Assumptions!$B$59,0)</f>
        <v/>
      </c>
      <c r="BF231" s="401">
        <f>IF(AND(MOD(54,3)=0,BF230&gt;0),BF230*Assumptions!$B$59,0)</f>
        <v/>
      </c>
      <c r="BG231" s="401">
        <f>IF(AND(MOD(55,3)=0,BG230&gt;0),BG230*Assumptions!$B$59,0)</f>
        <v/>
      </c>
      <c r="BH231" s="401">
        <f>IF(AND(MOD(56,3)=0,BH230&gt;0),BH230*Assumptions!$B$59,0)</f>
        <v/>
      </c>
      <c r="BI231" s="401">
        <f>IF(AND(MOD(57,3)=0,BI230&gt;0),BI230*Assumptions!$B$59,0)</f>
        <v/>
      </c>
      <c r="BJ231" s="401">
        <f>IF(AND(MOD(58,3)=0,BJ230&gt;0),BJ230*Assumptions!$B$59,0)</f>
        <v/>
      </c>
      <c r="BK231" s="401">
        <f>IF(AND(MOD(59,3)=0,BK230&gt;0),BK230*Assumptions!$B$59,0)</f>
        <v/>
      </c>
      <c r="BL231" s="401">
        <f>IF(AND(MOD(60,3)=0,BL230&gt;0),BL230*Assumptions!$B$59,0)</f>
        <v/>
      </c>
      <c r="BM231" s="401">
        <f>IF(AND(MOD(61,3)=0,BM230&gt;0),BM230*Assumptions!$B$59,0)</f>
        <v/>
      </c>
      <c r="BN231" s="401">
        <f>IF(AND(MOD(62,3)=0,BN230&gt;0),BN230*Assumptions!$B$59,0)</f>
        <v/>
      </c>
      <c r="BO231" s="401">
        <f>IF(AND(MOD(63,3)=0,BO230&gt;0),BO230*Assumptions!$B$59,0)</f>
        <v/>
      </c>
      <c r="BP231" s="401">
        <f>IF(AND(MOD(64,3)=0,BP230&gt;0),BP230*Assumptions!$B$59,0)</f>
        <v/>
      </c>
      <c r="BQ231" s="401">
        <f>IF(AND(MOD(65,3)=0,BQ230&gt;0),BQ230*Assumptions!$B$59,0)</f>
        <v/>
      </c>
      <c r="BR231" s="401">
        <f>IF(AND(MOD(66,3)=0,BR230&gt;0),BR230*Assumptions!$B$59,0)</f>
        <v/>
      </c>
      <c r="BS231" s="401">
        <f>IF(AND(MOD(67,3)=0,BS230&gt;0),BS230*Assumptions!$B$59,0)</f>
        <v/>
      </c>
      <c r="BT231" s="401">
        <f>IF(AND(MOD(68,3)=0,BT230&gt;0),BT230*Assumptions!$B$59,0)</f>
        <v/>
      </c>
      <c r="BU231" s="401">
        <f>IF(AND(MOD(69,3)=0,BU230&gt;0),BU230*Assumptions!$B$59,0)</f>
        <v/>
      </c>
      <c r="BV231" s="401">
        <f>IF(AND(MOD(70,3)=0,BV230&gt;0),BV230*Assumptions!$B$59,0)</f>
        <v/>
      </c>
      <c r="BW231" s="401">
        <f>IF(AND(MOD(71,3)=0,BW230&gt;0),BW230*Assumptions!$B$59,0)</f>
        <v/>
      </c>
      <c r="BX231" s="401">
        <f>IF(AND(MOD(72,3)=0,BX230&gt;0),BX230*Assumptions!$B$59,0)</f>
        <v/>
      </c>
      <c r="BY231" s="401">
        <f>IF(AND(MOD(73,3)=0,BY230&gt;0),BY230*Assumptions!$B$59,0)</f>
        <v/>
      </c>
      <c r="BZ231" s="401">
        <f>IF(AND(MOD(74,3)=0,BZ230&gt;0),BZ230*Assumptions!$B$59,0)</f>
        <v/>
      </c>
      <c r="CA231" s="401">
        <f>IF(AND(MOD(75,3)=0,CA230&gt;0),CA230*Assumptions!$B$59,0)</f>
        <v/>
      </c>
      <c r="CB231" s="401">
        <f>IF(AND(MOD(76,3)=0,CB230&gt;0),CB230*Assumptions!$B$59,0)</f>
        <v/>
      </c>
      <c r="CC231" s="401">
        <f>IF(AND(MOD(77,3)=0,CC230&gt;0),CC230*Assumptions!$B$59,0)</f>
        <v/>
      </c>
      <c r="CD231" s="401">
        <f>IF(AND(MOD(78,3)=0,CD230&gt;0),CD230*Assumptions!$B$59,0)</f>
        <v/>
      </c>
      <c r="CE231" s="401">
        <f>IF(AND(MOD(79,3)=0,CE230&gt;0),CE230*Assumptions!$B$59,0)</f>
        <v/>
      </c>
      <c r="CF231" s="401">
        <f>IF(AND(MOD(80,3)=0,CF230&gt;0),CF230*Assumptions!$B$59,0)</f>
        <v/>
      </c>
      <c r="CG231" s="401">
        <f>IF(AND(MOD(81,3)=0,CG230&gt;0),CG230*Assumptions!$B$59,0)</f>
        <v/>
      </c>
      <c r="CH231" s="401">
        <f>IF(AND(MOD(82,3)=0,CH230&gt;0),CH230*Assumptions!$B$59,0)</f>
        <v/>
      </c>
      <c r="CI231" s="401">
        <f>IF(AND(MOD(83,3)=0,CI230&gt;0),CI230*Assumptions!$B$59,0)</f>
        <v/>
      </c>
      <c r="CJ231" s="401">
        <f>IF(AND(MOD(84,3)=0,CJ230&gt;0),CJ230*Assumptions!$B$59,0)</f>
        <v/>
      </c>
      <c r="CK231" s="401">
        <f>IF(AND(MOD(85,3)=0,CK230&gt;0),CK230*Assumptions!$B$59,0)</f>
        <v/>
      </c>
      <c r="CL231" s="401">
        <f>IF(AND(MOD(86,3)=0,CL230&gt;0),CL230*Assumptions!$B$59,0)</f>
        <v/>
      </c>
      <c r="CM231" s="401">
        <f>IF(AND(MOD(87,3)=0,CM230&gt;0),CM230*Assumptions!$B$59,0)</f>
        <v/>
      </c>
      <c r="CN231" s="401">
        <f>IF(AND(MOD(88,3)=0,CN230&gt;0),CN230*Assumptions!$B$59,0)</f>
        <v/>
      </c>
      <c r="CO231" s="401">
        <f>IF(AND(MOD(89,3)=0,CO230&gt;0),CO230*Assumptions!$B$59,0)</f>
        <v/>
      </c>
      <c r="CP231" s="401">
        <f>IF(AND(MOD(90,3)=0,CP230&gt;0),CP230*Assumptions!$B$59,0)</f>
        <v/>
      </c>
      <c r="CQ231" s="401">
        <f>IF(AND(MOD(91,3)=0,CQ230&gt;0),CQ230*Assumptions!$B$59,0)</f>
        <v/>
      </c>
      <c r="CR231" s="401">
        <f>IF(AND(MOD(92,3)=0,CR230&gt;0),CR230*Assumptions!$B$59,0)</f>
        <v/>
      </c>
      <c r="CS231" s="401">
        <f>IF(AND(MOD(93,3)=0,CS230&gt;0),CS230*Assumptions!$B$59,0)</f>
        <v/>
      </c>
      <c r="CT231" s="401">
        <f>IF(AND(MOD(94,3)=0,CT230&gt;0),CT230*Assumptions!$B$59,0)</f>
        <v/>
      </c>
      <c r="CU231" s="401">
        <f>IF(AND(MOD(95,3)=0,CU230&gt;0),CU230*Assumptions!$B$59,0)</f>
        <v/>
      </c>
      <c r="CV231" s="401">
        <f>IF(AND(MOD(96,3)=0,CV230&gt;0),CV230*Assumptions!$B$59,0)</f>
        <v/>
      </c>
      <c r="CW231" s="401">
        <f>IF(AND(MOD(97,3)=0,CW230&gt;0),CW230*Assumptions!$B$59,0)</f>
        <v/>
      </c>
      <c r="CX231" s="401">
        <f>IF(AND(MOD(98,3)=0,CX230&gt;0),CX230*Assumptions!$B$59,0)</f>
        <v/>
      </c>
      <c r="CY231" s="401">
        <f>IF(AND(MOD(99,3)=0,CY230&gt;0),CY230*Assumptions!$B$59,0)</f>
        <v/>
      </c>
      <c r="CZ231" s="401">
        <f>IF(AND(MOD(100,3)=0,CZ230&gt;0),CZ230*Assumptions!$B$59,0)</f>
        <v/>
      </c>
      <c r="DA231" s="401">
        <f>IF(AND(MOD(101,3)=0,DA230&gt;0),DA230*Assumptions!$B$59,0)</f>
        <v/>
      </c>
      <c r="DB231" s="401">
        <f>IF(AND(MOD(102,3)=0,DB230&gt;0),DB230*Assumptions!$B$59,0)</f>
        <v/>
      </c>
      <c r="DC231" s="401">
        <f>IF(AND(MOD(103,3)=0,DC230&gt;0),DC230*Assumptions!$B$59,0)</f>
        <v/>
      </c>
      <c r="DD231" s="401">
        <f>IF(AND(MOD(104,3)=0,DD230&gt;0),DD230*Assumptions!$B$59,0)</f>
        <v/>
      </c>
      <c r="DE231" s="401">
        <f>IF(AND(MOD(105,3)=0,DE230&gt;0),DE230*Assumptions!$B$59,0)</f>
        <v/>
      </c>
    </row>
    <row r="232" ht="15" customFormat="1" customHeight="1" s="380">
      <c r="A232" s="397" t="inlineStr">
        <is>
          <t>Klump - Deal Distribution</t>
        </is>
      </c>
      <c r="B232" s="401" t="n"/>
      <c r="C232" s="401" t="n"/>
      <c r="D232" s="401" t="n"/>
      <c r="E232" s="401" t="n">
        <v>0</v>
      </c>
      <c r="F232" s="401" t="n">
        <v>0</v>
      </c>
      <c r="G232" s="401" t="n">
        <v>0</v>
      </c>
      <c r="H232" s="401" t="n">
        <v>0</v>
      </c>
      <c r="I232" s="401" t="n">
        <v>0</v>
      </c>
      <c r="J232" s="401" t="n">
        <v>0</v>
      </c>
      <c r="K232" s="401" t="n">
        <v>0</v>
      </c>
      <c r="L232" s="401" t="n">
        <v>0</v>
      </c>
      <c r="M232" s="401" t="n">
        <v>0</v>
      </c>
      <c r="N232" s="401" t="n">
        <v>0</v>
      </c>
      <c r="O232" s="401" t="n">
        <v>0</v>
      </c>
      <c r="P232" s="401" t="n">
        <v>0</v>
      </c>
      <c r="Q232" s="401" t="n">
        <v>0</v>
      </c>
      <c r="R232" s="401" t="n">
        <v>0</v>
      </c>
      <c r="S232" s="401" t="n">
        <v>0</v>
      </c>
      <c r="T232" s="401" t="n">
        <v>0</v>
      </c>
      <c r="U232" s="401" t="n">
        <v>0</v>
      </c>
      <c r="V232" s="401" t="n">
        <v>0</v>
      </c>
      <c r="W232" s="401" t="n">
        <v>0</v>
      </c>
      <c r="X232" s="401" t="n">
        <v>0</v>
      </c>
      <c r="Y232" s="401" t="n">
        <v>0</v>
      </c>
      <c r="Z232" s="401" t="n">
        <v>0</v>
      </c>
      <c r="AA232" s="401" t="n">
        <v>0</v>
      </c>
      <c r="AB232" s="401" t="n">
        <v>0</v>
      </c>
      <c r="AC232" s="401" t="n">
        <v>0</v>
      </c>
      <c r="AD232" s="401" t="n">
        <v>0</v>
      </c>
      <c r="AE232" s="401" t="n">
        <v>0</v>
      </c>
      <c r="AF232" s="401" t="n">
        <v>0</v>
      </c>
      <c r="AG232" s="401" t="n">
        <v>0</v>
      </c>
      <c r="AH232" s="401" t="n">
        <v>0</v>
      </c>
      <c r="AI232" s="401" t="n">
        <v>0</v>
      </c>
      <c r="AJ232" s="401" t="n">
        <v>0</v>
      </c>
      <c r="AK232" s="401" t="n">
        <v>0</v>
      </c>
      <c r="AL232" s="401" t="n">
        <v>0</v>
      </c>
      <c r="AM232" s="401" t="n">
        <v>0</v>
      </c>
      <c r="AN232" s="401" t="n">
        <v>0</v>
      </c>
      <c r="AO232" s="401" t="n">
        <v>0</v>
      </c>
      <c r="AP232" s="401" t="n">
        <v>0</v>
      </c>
      <c r="AQ232" s="401" t="n">
        <v>0</v>
      </c>
      <c r="AR232" s="401" t="n">
        <v>0</v>
      </c>
      <c r="AS232" s="401" t="n">
        <v>0</v>
      </c>
      <c r="AT232" s="401" t="n">
        <v>0</v>
      </c>
      <c r="AU232" s="401" t="n">
        <v>0</v>
      </c>
      <c r="AV232" s="401" t="n">
        <v>0</v>
      </c>
      <c r="AW232" s="401" t="n">
        <v>0</v>
      </c>
      <c r="AX232" s="401" t="n">
        <v>0</v>
      </c>
      <c r="AY232" s="401" t="n">
        <v>0</v>
      </c>
      <c r="AZ232" s="401" t="n">
        <v>0</v>
      </c>
      <c r="BA232" s="401" t="n">
        <v>0</v>
      </c>
      <c r="BB232" s="401" t="n">
        <v>0</v>
      </c>
      <c r="BC232" s="401" t="n">
        <v>0</v>
      </c>
      <c r="BD232" s="401" t="n">
        <v>0</v>
      </c>
      <c r="BE232" s="401" t="n">
        <v>0</v>
      </c>
      <c r="BF232" s="401" t="n">
        <v>0</v>
      </c>
      <c r="BG232" s="401" t="n">
        <v>0</v>
      </c>
      <c r="BH232" s="401" t="n">
        <v>0</v>
      </c>
      <c r="BI232" s="401" t="n">
        <v>0</v>
      </c>
      <c r="BJ232" s="401" t="n">
        <v>0</v>
      </c>
      <c r="BK232" s="401" t="n">
        <v>0</v>
      </c>
      <c r="BL232" s="401" t="n">
        <v>0</v>
      </c>
      <c r="BM232" s="401" t="n">
        <v>0</v>
      </c>
      <c r="BN232" s="401" t="n">
        <v>0</v>
      </c>
      <c r="BO232" s="401" t="n">
        <v>0</v>
      </c>
      <c r="BP232" s="401" t="n">
        <v>0</v>
      </c>
      <c r="BQ232" s="401" t="n">
        <v>0</v>
      </c>
      <c r="BR232" s="401" t="n">
        <v>0</v>
      </c>
      <c r="BS232" s="401" t="n">
        <v>0</v>
      </c>
      <c r="BT232" s="401" t="n">
        <v>0</v>
      </c>
      <c r="BU232" s="401" t="n">
        <v>0</v>
      </c>
      <c r="BV232" s="401" t="n">
        <v>0</v>
      </c>
      <c r="BW232" s="401" t="n">
        <v>0</v>
      </c>
      <c r="BX232" s="401" t="n">
        <v>0</v>
      </c>
      <c r="BY232" s="401" t="n">
        <v>0</v>
      </c>
      <c r="BZ232" s="401" t="n">
        <v>0</v>
      </c>
      <c r="CA232" s="401" t="n">
        <v>0</v>
      </c>
      <c r="CB232" s="401" t="n">
        <v>0</v>
      </c>
      <c r="CC232" s="401" t="n">
        <v>0</v>
      </c>
      <c r="CD232" s="401" t="n">
        <v>0</v>
      </c>
      <c r="CE232" s="401" t="n">
        <v>0</v>
      </c>
      <c r="CF232" s="401" t="n">
        <v>0</v>
      </c>
      <c r="CG232" s="401" t="n">
        <v>0</v>
      </c>
      <c r="CH232" s="401" t="n">
        <v>0</v>
      </c>
      <c r="CI232" s="401" t="n">
        <v>0</v>
      </c>
      <c r="CJ232" s="401" t="n">
        <v>0</v>
      </c>
      <c r="CK232" s="401" t="n">
        <v>0</v>
      </c>
      <c r="CL232" s="401" t="n">
        <v>0</v>
      </c>
      <c r="CM232" s="401" t="n">
        <v>0</v>
      </c>
      <c r="CN232" s="401" t="n">
        <v>0</v>
      </c>
      <c r="CO232" s="401" t="n">
        <v>0</v>
      </c>
      <c r="CP232" s="401" t="n">
        <v>0</v>
      </c>
      <c r="CQ232" s="401" t="n">
        <v>0</v>
      </c>
      <c r="CR232" s="401" t="n">
        <v>0</v>
      </c>
      <c r="CS232" s="401" t="n">
        <v>0</v>
      </c>
      <c r="CT232" s="401" t="n"/>
      <c r="CU232" s="401" t="n"/>
      <c r="CV232" s="401" t="n"/>
      <c r="CW232" s="401" t="n"/>
      <c r="CX232" s="401" t="n"/>
      <c r="CY232" s="401" t="n"/>
      <c r="CZ232" s="401" t="n"/>
      <c r="DA232" s="401" t="n"/>
      <c r="DB232" s="401" t="n"/>
      <c r="DC232" s="401" t="n"/>
      <c r="DD232" s="401" t="n"/>
      <c r="DE232" s="401" t="n"/>
    </row>
    <row r="233" ht="15" customFormat="1" customHeight="1" s="380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Format="1" customHeight="1" s="380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Format="1" customHeight="1" s="380">
      <c r="A235" s="397" t="inlineStr">
        <is>
          <t>Scott - Beginning Balance</t>
        </is>
      </c>
      <c r="B235" s="401" t="n"/>
      <c r="C235" s="401" t="n"/>
      <c r="D235" s="401" t="n"/>
      <c r="E235" s="401">
        <f>IF(AND(Projects!$G$12="Yes",Projects!$C$12&lt;=1),Assumptions!$B$61,0)</f>
        <v/>
      </c>
      <c r="F235" s="401">
        <f>IF(AND(Projects!$G$12="Yes",2=Projects!$C$12),Assumptions!$B$61,E239)</f>
        <v/>
      </c>
      <c r="G235" s="401">
        <f>IF(AND(Projects!$G$12="Yes",3=Projects!$C$12),Assumptions!$B$61,F239)</f>
        <v/>
      </c>
      <c r="H235" s="401">
        <f>IF(AND(Projects!$G$12="Yes",4=Projects!$C$12),Assumptions!$B$61,G239)</f>
        <v/>
      </c>
      <c r="I235" s="401">
        <f>IF(AND(Projects!$G$12="Yes",5=Projects!$C$12),Assumptions!$B$61,H239)</f>
        <v/>
      </c>
      <c r="J235" s="401">
        <f>IF(AND(Projects!$G$12="Yes",6=Projects!$C$12),Assumptions!$B$61,I239)</f>
        <v/>
      </c>
      <c r="K235" s="401">
        <f>IF(AND(Projects!$G$12="Yes",7=Projects!$C$12),Assumptions!$B$61,J239)</f>
        <v/>
      </c>
      <c r="L235" s="401">
        <f>IF(AND(Projects!$G$12="Yes",8=Projects!$C$12),Assumptions!$B$61,K239)</f>
        <v/>
      </c>
      <c r="M235" s="401">
        <f>IF(AND(Projects!$G$12="Yes",9=Projects!$C$12),Assumptions!$B$61,L239)</f>
        <v/>
      </c>
      <c r="N235" s="401">
        <f>IF(AND(Projects!$G$12="Yes",10=Projects!$C$12),Assumptions!$B$61,M239)</f>
        <v/>
      </c>
      <c r="O235" s="401">
        <f>IF(AND(Projects!$G$12="Yes",11=Projects!$C$12),Assumptions!$B$61,N239)</f>
        <v/>
      </c>
      <c r="P235" s="401">
        <f>IF(AND(Projects!$G$12="Yes",12=Projects!$C$12),Assumptions!$B$61,O239)</f>
        <v/>
      </c>
      <c r="Q235" s="401">
        <f>IF(AND(Projects!$G$12="Yes",13=Projects!$C$12),Assumptions!$B$61,P239)</f>
        <v/>
      </c>
      <c r="R235" s="401">
        <f>IF(AND(Projects!$G$12="Yes",14=Projects!$C$12),Assumptions!$B$61,Q239)</f>
        <v/>
      </c>
      <c r="S235" s="401">
        <f>IF(AND(Projects!$G$12="Yes",15=Projects!$C$12),Assumptions!$B$61,R239)</f>
        <v/>
      </c>
      <c r="T235" s="401">
        <f>IF(AND(Projects!$G$12="Yes",16=Projects!$C$12),Assumptions!$B$61,S239)</f>
        <v/>
      </c>
      <c r="U235" s="401">
        <f>IF(AND(Projects!$G$12="Yes",17=Projects!$C$12),Assumptions!$B$61,T239)</f>
        <v/>
      </c>
      <c r="V235" s="401">
        <f>IF(AND(Projects!$G$12="Yes",18=Projects!$C$12),Assumptions!$B$61,U239)</f>
        <v/>
      </c>
      <c r="W235" s="401">
        <f>IF(AND(Projects!$G$12="Yes",19=Projects!$C$12),Assumptions!$B$61,V239)</f>
        <v/>
      </c>
      <c r="X235" s="401">
        <f>IF(AND(Projects!$G$12="Yes",20=Projects!$C$12),Assumptions!$B$61,W239)</f>
        <v/>
      </c>
      <c r="Y235" s="401">
        <f>IF(AND(Projects!$G$12="Yes",21=Projects!$C$12),Assumptions!$B$61,X239)</f>
        <v/>
      </c>
      <c r="Z235" s="401">
        <f>IF(AND(Projects!$G$12="Yes",22=Projects!$C$12),Assumptions!$B$61,Y239)</f>
        <v/>
      </c>
      <c r="AA235" s="401">
        <f>IF(AND(Projects!$G$12="Yes",23=Projects!$C$12),Assumptions!$B$61,Z239)</f>
        <v/>
      </c>
      <c r="AB235" s="401">
        <f>IF(AND(Projects!$G$12="Yes",24=Projects!$C$12),Assumptions!$B$61,AA239)</f>
        <v/>
      </c>
      <c r="AC235" s="401">
        <f>IF(AND(Projects!$G$12="Yes",25=Projects!$C$12),Assumptions!$B$61,AB239)</f>
        <v/>
      </c>
      <c r="AD235" s="401">
        <f>IF(AND(Projects!$G$12="Yes",26=Projects!$C$12),Assumptions!$B$61,AC239)</f>
        <v/>
      </c>
      <c r="AE235" s="401">
        <f>IF(AND(Projects!$G$12="Yes",27=Projects!$C$12),Assumptions!$B$61,AD239)</f>
        <v/>
      </c>
      <c r="AF235" s="401">
        <f>IF(AND(Projects!$G$12="Yes",28=Projects!$C$12),Assumptions!$B$61,AE239)</f>
        <v/>
      </c>
      <c r="AG235" s="401">
        <f>IF(AND(Projects!$G$12="Yes",29=Projects!$C$12),Assumptions!$B$61,AF239)</f>
        <v/>
      </c>
      <c r="AH235" s="401">
        <f>IF(AND(Projects!$G$12="Yes",30=Projects!$C$12),Assumptions!$B$61,AG239)</f>
        <v/>
      </c>
      <c r="AI235" s="401">
        <f>IF(AND(Projects!$G$12="Yes",31=Projects!$C$12),Assumptions!$B$61,AH239)</f>
        <v/>
      </c>
      <c r="AJ235" s="401">
        <f>IF(AND(Projects!$G$12="Yes",32=Projects!$C$12),Assumptions!$B$61,AI239)</f>
        <v/>
      </c>
      <c r="AK235" s="401">
        <f>IF(AND(Projects!$G$12="Yes",33=Projects!$C$12),Assumptions!$B$61,AJ239)</f>
        <v/>
      </c>
      <c r="AL235" s="401">
        <f>IF(AND(Projects!$G$12="Yes",34=Projects!$C$12),Assumptions!$B$61,AK239)</f>
        <v/>
      </c>
      <c r="AM235" s="401">
        <f>IF(AND(Projects!$G$12="Yes",35=Projects!$C$12),Assumptions!$B$61,AL239)</f>
        <v/>
      </c>
      <c r="AN235" s="401">
        <f>IF(AND(Projects!$G$12="Yes",36=Projects!$C$12),Assumptions!$B$61,AM239)</f>
        <v/>
      </c>
      <c r="AO235" s="401">
        <f>IF(AND(Projects!$G$12="Yes",37=Projects!$C$12),Assumptions!$B$61,AN239)</f>
        <v/>
      </c>
      <c r="AP235" s="401">
        <f>IF(AND(Projects!$G$12="Yes",38=Projects!$C$12),Assumptions!$B$61,AO239)</f>
        <v/>
      </c>
      <c r="AQ235" s="401">
        <f>IF(AND(Projects!$G$12="Yes",39=Projects!$C$12),Assumptions!$B$61,AP239)</f>
        <v/>
      </c>
      <c r="AR235" s="401">
        <f>IF(AND(Projects!$G$12="Yes",40=Projects!$C$12),Assumptions!$B$61,AQ239)</f>
        <v/>
      </c>
      <c r="AS235" s="401">
        <f>IF(AND(Projects!$G$12="Yes",41=Projects!$C$12),Assumptions!$B$61,AR239)</f>
        <v/>
      </c>
      <c r="AT235" s="401">
        <f>IF(AND(Projects!$G$12="Yes",42=Projects!$C$12),Assumptions!$B$61,AS239)</f>
        <v/>
      </c>
      <c r="AU235" s="401">
        <f>IF(AND(Projects!$G$12="Yes",43=Projects!$C$12),Assumptions!$B$61,AT239)</f>
        <v/>
      </c>
      <c r="AV235" s="401">
        <f>IF(AND(Projects!$G$12="Yes",44=Projects!$C$12),Assumptions!$B$61,AU239)</f>
        <v/>
      </c>
      <c r="AW235" s="401">
        <f>IF(AND(Projects!$G$12="Yes",45=Projects!$C$12),Assumptions!$B$61,AV239)</f>
        <v/>
      </c>
      <c r="AX235" s="401">
        <f>IF(AND(Projects!$G$12="Yes",46=Projects!$C$12),Assumptions!$B$61,AW239)</f>
        <v/>
      </c>
      <c r="AY235" s="401">
        <f>IF(AND(Projects!$G$12="Yes",47=Projects!$C$12),Assumptions!$B$61,AX239)</f>
        <v/>
      </c>
      <c r="AZ235" s="401">
        <f>IF(AND(Projects!$G$12="Yes",48=Projects!$C$12),Assumptions!$B$61,AY239)</f>
        <v/>
      </c>
      <c r="BA235" s="401">
        <f>IF(AND(Projects!$G$12="Yes",49=Projects!$C$12),Assumptions!$B$61,AZ239)</f>
        <v/>
      </c>
      <c r="BB235" s="401">
        <f>IF(AND(Projects!$G$12="Yes",50=Projects!$C$12),Assumptions!$B$61,BA239)</f>
        <v/>
      </c>
      <c r="BC235" s="401">
        <f>IF(AND(Projects!$G$12="Yes",51=Projects!$C$12),Assumptions!$B$61,BB239)</f>
        <v/>
      </c>
      <c r="BD235" s="401">
        <f>IF(AND(Projects!$G$12="Yes",52=Projects!$C$12),Assumptions!$B$61,BC239)</f>
        <v/>
      </c>
      <c r="BE235" s="401">
        <f>IF(AND(Projects!$G$12="Yes",53=Projects!$C$12),Assumptions!$B$61,BD239)</f>
        <v/>
      </c>
      <c r="BF235" s="401">
        <f>IF(AND(Projects!$G$12="Yes",54=Projects!$C$12),Assumptions!$B$61,BE239)</f>
        <v/>
      </c>
      <c r="BG235" s="401">
        <f>IF(AND(Projects!$G$12="Yes",55=Projects!$C$12),Assumptions!$B$61,BF239)</f>
        <v/>
      </c>
      <c r="BH235" s="401">
        <f>IF(AND(Projects!$G$12="Yes",56=Projects!$C$12),Assumptions!$B$61,BG239)</f>
        <v/>
      </c>
      <c r="BI235" s="401">
        <f>IF(AND(Projects!$G$12="Yes",57=Projects!$C$12),Assumptions!$B$61,BH239)</f>
        <v/>
      </c>
      <c r="BJ235" s="401">
        <f>IF(AND(Projects!$G$12="Yes",58=Projects!$C$12),Assumptions!$B$61,BI239)</f>
        <v/>
      </c>
      <c r="BK235" s="401">
        <f>IF(AND(Projects!$G$12="Yes",59=Projects!$C$12),Assumptions!$B$61,BJ239)</f>
        <v/>
      </c>
      <c r="BL235" s="401">
        <f>IF(AND(Projects!$G$12="Yes",60=Projects!$C$12),Assumptions!$B$61,BK239)</f>
        <v/>
      </c>
      <c r="BM235" s="401">
        <f>IF(AND(Projects!$G$12="Yes",61=Projects!$C$12),Assumptions!$B$61,BL239)</f>
        <v/>
      </c>
      <c r="BN235" s="401">
        <f>IF(AND(Projects!$G$12="Yes",62=Projects!$C$12),Assumptions!$B$61,BM239)</f>
        <v/>
      </c>
      <c r="BO235" s="401">
        <f>IF(AND(Projects!$G$12="Yes",63=Projects!$C$12),Assumptions!$B$61,BN239)</f>
        <v/>
      </c>
      <c r="BP235" s="401">
        <f>IF(AND(Projects!$G$12="Yes",64=Projects!$C$12),Assumptions!$B$61,BO239)</f>
        <v/>
      </c>
      <c r="BQ235" s="401">
        <f>IF(AND(Projects!$G$12="Yes",65=Projects!$C$12),Assumptions!$B$61,BP239)</f>
        <v/>
      </c>
      <c r="BR235" s="401">
        <f>IF(AND(Projects!$G$12="Yes",66=Projects!$C$12),Assumptions!$B$61,BQ239)</f>
        <v/>
      </c>
      <c r="BS235" s="401">
        <f>IF(AND(Projects!$G$12="Yes",67=Projects!$C$12),Assumptions!$B$61,BR239)</f>
        <v/>
      </c>
      <c r="BT235" s="401">
        <f>IF(AND(Projects!$G$12="Yes",68=Projects!$C$12),Assumptions!$B$61,BS239)</f>
        <v/>
      </c>
      <c r="BU235" s="401">
        <f>IF(AND(Projects!$G$12="Yes",69=Projects!$C$12),Assumptions!$B$61,BT239)</f>
        <v/>
      </c>
      <c r="BV235" s="401">
        <f>IF(AND(Projects!$G$12="Yes",70=Projects!$C$12),Assumptions!$B$61,BU239)</f>
        <v/>
      </c>
      <c r="BW235" s="401">
        <f>IF(AND(Projects!$G$12="Yes",71=Projects!$C$12),Assumptions!$B$61,BV239)</f>
        <v/>
      </c>
      <c r="BX235" s="401">
        <f>IF(AND(Projects!$G$12="Yes",72=Projects!$C$12),Assumptions!$B$61,BW239)</f>
        <v/>
      </c>
      <c r="BY235" s="401">
        <f>IF(AND(Projects!$G$12="Yes",73=Projects!$C$12),Assumptions!$B$61,BX239)</f>
        <v/>
      </c>
      <c r="BZ235" s="401">
        <f>IF(AND(Projects!$G$12="Yes",74=Projects!$C$12),Assumptions!$B$61,BY239)</f>
        <v/>
      </c>
      <c r="CA235" s="401">
        <f>IF(AND(Projects!$G$12="Yes",75=Projects!$C$12),Assumptions!$B$61,BZ239)</f>
        <v/>
      </c>
      <c r="CB235" s="401">
        <f>IF(AND(Projects!$G$12="Yes",76=Projects!$C$12),Assumptions!$B$61,CA239)</f>
        <v/>
      </c>
      <c r="CC235" s="401">
        <f>IF(AND(Projects!$G$12="Yes",77=Projects!$C$12),Assumptions!$B$61,CB239)</f>
        <v/>
      </c>
      <c r="CD235" s="401">
        <f>IF(AND(Projects!$G$12="Yes",78=Projects!$C$12),Assumptions!$B$61,CC239)</f>
        <v/>
      </c>
      <c r="CE235" s="401">
        <f>IF(AND(Projects!$G$12="Yes",79=Projects!$C$12),Assumptions!$B$61,CD239)</f>
        <v/>
      </c>
      <c r="CF235" s="401">
        <f>IF(AND(Projects!$G$12="Yes",80=Projects!$C$12),Assumptions!$B$61,CE239)</f>
        <v/>
      </c>
      <c r="CG235" s="401">
        <f>IF(AND(Projects!$G$12="Yes",81=Projects!$C$12),Assumptions!$B$61,CF239)</f>
        <v/>
      </c>
      <c r="CH235" s="401">
        <f>IF(AND(Projects!$G$12="Yes",82=Projects!$C$12),Assumptions!$B$61,CG239)</f>
        <v/>
      </c>
      <c r="CI235" s="401">
        <f>IF(AND(Projects!$G$12="Yes",83=Projects!$C$12),Assumptions!$B$61,CH239)</f>
        <v/>
      </c>
      <c r="CJ235" s="401">
        <f>IF(AND(Projects!$G$12="Yes",84=Projects!$C$12),Assumptions!$B$61,CI239)</f>
        <v/>
      </c>
      <c r="CK235" s="401">
        <f>IF(AND(Projects!$G$12="Yes",85=Projects!$C$12),Assumptions!$B$61,CJ239)</f>
        <v/>
      </c>
      <c r="CL235" s="401">
        <f>IF(AND(Projects!$G$12="Yes",86=Projects!$C$12),Assumptions!$B$61,CK239)</f>
        <v/>
      </c>
      <c r="CM235" s="401">
        <f>IF(AND(Projects!$G$12="Yes",87=Projects!$C$12),Assumptions!$B$61,CL239)</f>
        <v/>
      </c>
      <c r="CN235" s="401">
        <f>IF(AND(Projects!$G$12="Yes",88=Projects!$C$12),Assumptions!$B$61,CM239)</f>
        <v/>
      </c>
      <c r="CO235" s="401">
        <f>IF(AND(Projects!$G$12="Yes",89=Projects!$C$12),Assumptions!$B$61,CN239)</f>
        <v/>
      </c>
      <c r="CP235" s="401">
        <f>IF(AND(Projects!$G$12="Yes",90=Projects!$C$12),Assumptions!$B$61,CO239)</f>
        <v/>
      </c>
      <c r="CQ235" s="401">
        <f>IF(AND(Projects!$G$12="Yes",91=Projects!$C$12),Assumptions!$B$61,CP239)</f>
        <v/>
      </c>
      <c r="CR235" s="401">
        <f>IF(AND(Projects!$G$12="Yes",92=Projects!$C$12),Assumptions!$B$61,CQ239)</f>
        <v/>
      </c>
      <c r="CS235" s="401">
        <f>IF(AND(Projects!$G$12="Yes",93=Projects!$C$12),Assumptions!$B$61,CR239)</f>
        <v/>
      </c>
      <c r="CT235" s="401">
        <f>IF(AND(Projects!$G$12="Yes",94=Projects!$C$12),Assumptions!$B$61,CS239)</f>
        <v/>
      </c>
      <c r="CU235" s="401">
        <f>IF(AND(Projects!$G$12="Yes",95=Projects!$C$12),Assumptions!$B$61,CT239)</f>
        <v/>
      </c>
      <c r="CV235" s="401">
        <f>IF(AND(Projects!$G$12="Yes",96=Projects!$C$12),Assumptions!$B$61,CU239)</f>
        <v/>
      </c>
      <c r="CW235" s="401">
        <f>IF(AND(Projects!$G$12="Yes",97=Projects!$C$12),Assumptions!$B$61,CV239)</f>
        <v/>
      </c>
      <c r="CX235" s="401">
        <f>IF(AND(Projects!$G$12="Yes",98=Projects!$C$12),Assumptions!$B$61,CW239)</f>
        <v/>
      </c>
      <c r="CY235" s="401">
        <f>IF(AND(Projects!$G$12="Yes",99=Projects!$C$12),Assumptions!$B$61,CX239)</f>
        <v/>
      </c>
      <c r="CZ235" s="401">
        <f>IF(AND(Projects!$G$12="Yes",100=Projects!$C$12),Assumptions!$B$61,CY239)</f>
        <v/>
      </c>
      <c r="DA235" s="401">
        <f>IF(AND(Projects!$G$12="Yes",101=Projects!$C$12),Assumptions!$B$61,CZ239)</f>
        <v/>
      </c>
      <c r="DB235" s="401">
        <f>IF(AND(Projects!$G$12="Yes",102=Projects!$C$12),Assumptions!$B$61,DA239)</f>
        <v/>
      </c>
      <c r="DC235" s="401">
        <f>IF(AND(Projects!$G$12="Yes",103=Projects!$C$12),Assumptions!$B$61,DB239)</f>
        <v/>
      </c>
      <c r="DD235" s="401">
        <f>IF(AND(Projects!$G$12="Yes",104=Projects!$C$12),Assumptions!$B$61,DC239)</f>
        <v/>
      </c>
      <c r="DE235" s="401">
        <f>IF(AND(Projects!$G$12="Yes",105=Projects!$C$12),Assumptions!$B$61,DD239)</f>
        <v/>
      </c>
    </row>
    <row r="236" ht="21.75" customFormat="1" customHeight="1" s="380">
      <c r="A236" s="397" t="inlineStr">
        <is>
          <t>Scott - Quarterly Interest</t>
        </is>
      </c>
      <c r="B236" s="401" t="n"/>
      <c r="C236" s="401" t="n"/>
      <c r="D236" s="401" t="n"/>
      <c r="E236" s="401">
        <f>IF(AND(MOD(1,3)=0,E235&gt;0),E235*Assumptions!$B$59,0)</f>
        <v/>
      </c>
      <c r="F236" s="401">
        <f>IF(AND(MOD(2,3)=0,F235&gt;0),F235*Assumptions!$B$59,0)</f>
        <v/>
      </c>
      <c r="G236" s="401">
        <f>IF(AND(MOD(3,3)=0,G235&gt;0),G235*Assumptions!$B$59,0)</f>
        <v/>
      </c>
      <c r="H236" s="401">
        <f>IF(AND(MOD(4,3)=0,H235&gt;0),H235*Assumptions!$B$59,0)</f>
        <v/>
      </c>
      <c r="I236" s="401">
        <f>IF(AND(MOD(5,3)=0,I235&gt;0),I235*Assumptions!$B$59,0)</f>
        <v/>
      </c>
      <c r="J236" s="401">
        <f>IF(AND(MOD(6,3)=0,J235&gt;0),J235*Assumptions!$B$59,0)</f>
        <v/>
      </c>
      <c r="K236" s="401">
        <f>IF(AND(MOD(7,3)=0,K235&gt;0),K235*Assumptions!$B$59,0)</f>
        <v/>
      </c>
      <c r="L236" s="401">
        <f>IF(AND(MOD(8,3)=0,L235&gt;0),L235*Assumptions!$B$59,0)</f>
        <v/>
      </c>
      <c r="M236" s="401">
        <f>IF(AND(MOD(9,3)=0,M235&gt;0),M235*Assumptions!$B$59,0)</f>
        <v/>
      </c>
      <c r="N236" s="401">
        <f>IF(AND(MOD(10,3)=0,N235&gt;0),N235*Assumptions!$B$59,0)</f>
        <v/>
      </c>
      <c r="O236" s="401">
        <f>IF(AND(MOD(11,3)=0,O235&gt;0),O235*Assumptions!$B$59,0)</f>
        <v/>
      </c>
      <c r="P236" s="401">
        <f>IF(AND(MOD(12,3)=0,P235&gt;0),P235*Assumptions!$B$59,0)</f>
        <v/>
      </c>
      <c r="Q236" s="401">
        <f>IF(AND(MOD(13,3)=0,Q235&gt;0),Q235*Assumptions!$B$59,0)</f>
        <v/>
      </c>
      <c r="R236" s="401">
        <f>IF(AND(MOD(14,3)=0,R235&gt;0),R235*Assumptions!$B$59,0)</f>
        <v/>
      </c>
      <c r="S236" s="401">
        <f>IF(AND(MOD(15,3)=0,S235&gt;0),S235*Assumptions!$B$59,0)</f>
        <v/>
      </c>
      <c r="T236" s="401">
        <f>IF(AND(MOD(16,3)=0,T235&gt;0),T235*Assumptions!$B$59,0)</f>
        <v/>
      </c>
      <c r="U236" s="401">
        <f>IF(AND(MOD(17,3)=0,U235&gt;0),U235*Assumptions!$B$59,0)</f>
        <v/>
      </c>
      <c r="V236" s="401">
        <f>IF(AND(MOD(18,3)=0,V235&gt;0),V235*Assumptions!$B$59,0)</f>
        <v/>
      </c>
      <c r="W236" s="401">
        <f>IF(AND(MOD(19,3)=0,W235&gt;0),W235*Assumptions!$B$59,0)</f>
        <v/>
      </c>
      <c r="X236" s="401">
        <f>IF(AND(MOD(20,3)=0,X235&gt;0),X235*Assumptions!$B$59,0)</f>
        <v/>
      </c>
      <c r="Y236" s="401">
        <f>IF(AND(MOD(21,3)=0,Y235&gt;0),Y235*Assumptions!$B$59,0)</f>
        <v/>
      </c>
      <c r="Z236" s="401">
        <f>IF(AND(MOD(22,3)=0,Z235&gt;0),Z235*Assumptions!$B$59,0)</f>
        <v/>
      </c>
      <c r="AA236" s="401">
        <f>IF(AND(MOD(23,3)=0,AA235&gt;0),AA235*Assumptions!$B$59,0)</f>
        <v/>
      </c>
      <c r="AB236" s="401">
        <f>IF(AND(MOD(24,3)=0,AB235&gt;0),AB235*Assumptions!$B$59,0)</f>
        <v/>
      </c>
      <c r="AC236" s="401">
        <f>IF(AND(MOD(25,3)=0,AC235&gt;0),AC235*Assumptions!$B$59,0)</f>
        <v/>
      </c>
      <c r="AD236" s="401">
        <f>IF(AND(MOD(26,3)=0,AD235&gt;0),AD235*Assumptions!$B$59,0)</f>
        <v/>
      </c>
      <c r="AE236" s="401">
        <f>IF(AND(MOD(27,3)=0,AE235&gt;0),AE235*Assumptions!$B$59,0)</f>
        <v/>
      </c>
      <c r="AF236" s="401">
        <f>IF(AND(MOD(28,3)=0,AF235&gt;0),AF235*Assumptions!$B$59,0)</f>
        <v/>
      </c>
      <c r="AG236" s="401">
        <f>IF(AND(MOD(29,3)=0,AG235&gt;0),AG235*Assumptions!$B$59,0)</f>
        <v/>
      </c>
      <c r="AH236" s="401">
        <f>IF(AND(MOD(30,3)=0,AH235&gt;0),AH235*Assumptions!$B$59,0)</f>
        <v/>
      </c>
      <c r="AI236" s="401">
        <f>IF(AND(MOD(31,3)=0,AI235&gt;0),AI235*Assumptions!$B$59,0)</f>
        <v/>
      </c>
      <c r="AJ236" s="401">
        <f>IF(AND(MOD(32,3)=0,AJ235&gt;0),AJ235*Assumptions!$B$59,0)</f>
        <v/>
      </c>
      <c r="AK236" s="401">
        <f>IF(AND(MOD(33,3)=0,AK235&gt;0),AK235*Assumptions!$B$59,0)</f>
        <v/>
      </c>
      <c r="AL236" s="401">
        <f>IF(AND(MOD(34,3)=0,AL235&gt;0),AL235*Assumptions!$B$59,0)</f>
        <v/>
      </c>
      <c r="AM236" s="401">
        <f>IF(AND(MOD(35,3)=0,AM235&gt;0),AM235*Assumptions!$B$59,0)</f>
        <v/>
      </c>
      <c r="AN236" s="401">
        <f>IF(AND(MOD(36,3)=0,AN235&gt;0),AN235*Assumptions!$B$59,0)</f>
        <v/>
      </c>
      <c r="AO236" s="401">
        <f>IF(AND(MOD(37,3)=0,AO235&gt;0),AO235*Assumptions!$B$59,0)</f>
        <v/>
      </c>
      <c r="AP236" s="401">
        <f>IF(AND(MOD(38,3)=0,AP235&gt;0),AP235*Assumptions!$B$59,0)</f>
        <v/>
      </c>
      <c r="AQ236" s="401">
        <f>IF(AND(MOD(39,3)=0,AQ235&gt;0),AQ235*Assumptions!$B$59,0)</f>
        <v/>
      </c>
      <c r="AR236" s="401">
        <f>IF(AND(MOD(40,3)=0,AR235&gt;0),AR235*Assumptions!$B$59,0)</f>
        <v/>
      </c>
      <c r="AS236" s="401">
        <f>IF(AND(MOD(41,3)=0,AS235&gt;0),AS235*Assumptions!$B$59,0)</f>
        <v/>
      </c>
      <c r="AT236" s="401">
        <f>IF(AND(MOD(42,3)=0,AT235&gt;0),AT235*Assumptions!$B$59,0)</f>
        <v/>
      </c>
      <c r="AU236" s="401">
        <f>IF(AND(MOD(43,3)=0,AU235&gt;0),AU235*Assumptions!$B$59,0)</f>
        <v/>
      </c>
      <c r="AV236" s="401">
        <f>IF(AND(MOD(44,3)=0,AV235&gt;0),AV235*Assumptions!$B$59,0)</f>
        <v/>
      </c>
      <c r="AW236" s="401">
        <f>IF(AND(MOD(45,3)=0,AW235&gt;0),AW235*Assumptions!$B$59,0)</f>
        <v/>
      </c>
      <c r="AX236" s="401">
        <f>IF(AND(MOD(46,3)=0,AX235&gt;0),AX235*Assumptions!$B$59,0)</f>
        <v/>
      </c>
      <c r="AY236" s="401">
        <f>IF(AND(MOD(47,3)=0,AY235&gt;0),AY235*Assumptions!$B$59,0)</f>
        <v/>
      </c>
      <c r="AZ236" s="401">
        <f>IF(AND(MOD(48,3)=0,AZ235&gt;0),AZ235*Assumptions!$B$59,0)</f>
        <v/>
      </c>
      <c r="BA236" s="401">
        <f>IF(AND(MOD(49,3)=0,BA235&gt;0),BA235*Assumptions!$B$59,0)</f>
        <v/>
      </c>
      <c r="BB236" s="401">
        <f>IF(AND(MOD(50,3)=0,BB235&gt;0),BB235*Assumptions!$B$59,0)</f>
        <v/>
      </c>
      <c r="BC236" s="401">
        <f>IF(AND(MOD(51,3)=0,BC235&gt;0),BC235*Assumptions!$B$59,0)</f>
        <v/>
      </c>
      <c r="BD236" s="401">
        <f>IF(AND(MOD(52,3)=0,BD235&gt;0),BD235*Assumptions!$B$59,0)</f>
        <v/>
      </c>
      <c r="BE236" s="401">
        <f>IF(AND(MOD(53,3)=0,BE235&gt;0),BE235*Assumptions!$B$59,0)</f>
        <v/>
      </c>
      <c r="BF236" s="401">
        <f>IF(AND(MOD(54,3)=0,BF235&gt;0),BF235*Assumptions!$B$59,0)</f>
        <v/>
      </c>
      <c r="BG236" s="401">
        <f>IF(AND(MOD(55,3)=0,BG235&gt;0),BG235*Assumptions!$B$59,0)</f>
        <v/>
      </c>
      <c r="BH236" s="401">
        <f>IF(AND(MOD(56,3)=0,BH235&gt;0),BH235*Assumptions!$B$59,0)</f>
        <v/>
      </c>
      <c r="BI236" s="401">
        <f>IF(AND(MOD(57,3)=0,BI235&gt;0),BI235*Assumptions!$B$59,0)</f>
        <v/>
      </c>
      <c r="BJ236" s="401">
        <f>IF(AND(MOD(58,3)=0,BJ235&gt;0),BJ235*Assumptions!$B$59,0)</f>
        <v/>
      </c>
      <c r="BK236" s="401">
        <f>IF(AND(MOD(59,3)=0,BK235&gt;0),BK235*Assumptions!$B$59,0)</f>
        <v/>
      </c>
      <c r="BL236" s="401">
        <f>IF(AND(MOD(60,3)=0,BL235&gt;0),BL235*Assumptions!$B$59,0)</f>
        <v/>
      </c>
      <c r="BM236" s="401">
        <f>IF(AND(MOD(61,3)=0,BM235&gt;0),BM235*Assumptions!$B$59,0)</f>
        <v/>
      </c>
      <c r="BN236" s="401">
        <f>IF(AND(MOD(62,3)=0,BN235&gt;0),BN235*Assumptions!$B$59,0)</f>
        <v/>
      </c>
      <c r="BO236" s="401">
        <f>IF(AND(MOD(63,3)=0,BO235&gt;0),BO235*Assumptions!$B$59,0)</f>
        <v/>
      </c>
      <c r="BP236" s="401">
        <f>IF(AND(MOD(64,3)=0,BP235&gt;0),BP235*Assumptions!$B$59,0)</f>
        <v/>
      </c>
      <c r="BQ236" s="401">
        <f>IF(AND(MOD(65,3)=0,BQ235&gt;0),BQ235*Assumptions!$B$59,0)</f>
        <v/>
      </c>
      <c r="BR236" s="401">
        <f>IF(AND(MOD(66,3)=0,BR235&gt;0),BR235*Assumptions!$B$59,0)</f>
        <v/>
      </c>
      <c r="BS236" s="401">
        <f>IF(AND(MOD(67,3)=0,BS235&gt;0),BS235*Assumptions!$B$59,0)</f>
        <v/>
      </c>
      <c r="BT236" s="401">
        <f>IF(AND(MOD(68,3)=0,BT235&gt;0),BT235*Assumptions!$B$59,0)</f>
        <v/>
      </c>
      <c r="BU236" s="401">
        <f>IF(AND(MOD(69,3)=0,BU235&gt;0),BU235*Assumptions!$B$59,0)</f>
        <v/>
      </c>
      <c r="BV236" s="401">
        <f>IF(AND(MOD(70,3)=0,BV235&gt;0),BV235*Assumptions!$B$59,0)</f>
        <v/>
      </c>
      <c r="BW236" s="401">
        <f>IF(AND(MOD(71,3)=0,BW235&gt;0),BW235*Assumptions!$B$59,0)</f>
        <v/>
      </c>
      <c r="BX236" s="401">
        <f>IF(AND(MOD(72,3)=0,BX235&gt;0),BX235*Assumptions!$B$59,0)</f>
        <v/>
      </c>
      <c r="BY236" s="401">
        <f>IF(AND(MOD(73,3)=0,BY235&gt;0),BY235*Assumptions!$B$59,0)</f>
        <v/>
      </c>
      <c r="BZ236" s="401">
        <f>IF(AND(MOD(74,3)=0,BZ235&gt;0),BZ235*Assumptions!$B$59,0)</f>
        <v/>
      </c>
      <c r="CA236" s="401">
        <f>IF(AND(MOD(75,3)=0,CA235&gt;0),CA235*Assumptions!$B$59,0)</f>
        <v/>
      </c>
      <c r="CB236" s="401">
        <f>IF(AND(MOD(76,3)=0,CB235&gt;0),CB235*Assumptions!$B$59,0)</f>
        <v/>
      </c>
      <c r="CC236" s="401">
        <f>IF(AND(MOD(77,3)=0,CC235&gt;0),CC235*Assumptions!$B$59,0)</f>
        <v/>
      </c>
      <c r="CD236" s="401">
        <f>IF(AND(MOD(78,3)=0,CD235&gt;0),CD235*Assumptions!$B$59,0)</f>
        <v/>
      </c>
      <c r="CE236" s="401">
        <f>IF(AND(MOD(79,3)=0,CE235&gt;0),CE235*Assumptions!$B$59,0)</f>
        <v/>
      </c>
      <c r="CF236" s="401">
        <f>IF(AND(MOD(80,3)=0,CF235&gt;0),CF235*Assumptions!$B$59,0)</f>
        <v/>
      </c>
      <c r="CG236" s="401">
        <f>IF(AND(MOD(81,3)=0,CG235&gt;0),CG235*Assumptions!$B$59,0)</f>
        <v/>
      </c>
      <c r="CH236" s="401">
        <f>IF(AND(MOD(82,3)=0,CH235&gt;0),CH235*Assumptions!$B$59,0)</f>
        <v/>
      </c>
      <c r="CI236" s="401">
        <f>IF(AND(MOD(83,3)=0,CI235&gt;0),CI235*Assumptions!$B$59,0)</f>
        <v/>
      </c>
      <c r="CJ236" s="401">
        <f>IF(AND(MOD(84,3)=0,CJ235&gt;0),CJ235*Assumptions!$B$59,0)</f>
        <v/>
      </c>
      <c r="CK236" s="401">
        <f>IF(AND(MOD(85,3)=0,CK235&gt;0),CK235*Assumptions!$B$59,0)</f>
        <v/>
      </c>
      <c r="CL236" s="401">
        <f>IF(AND(MOD(86,3)=0,CL235&gt;0),CL235*Assumptions!$B$59,0)</f>
        <v/>
      </c>
      <c r="CM236" s="401">
        <f>IF(AND(MOD(87,3)=0,CM235&gt;0),CM235*Assumptions!$B$59,0)</f>
        <v/>
      </c>
      <c r="CN236" s="401">
        <f>IF(AND(MOD(88,3)=0,CN235&gt;0),CN235*Assumptions!$B$59,0)</f>
        <v/>
      </c>
      <c r="CO236" s="401">
        <f>IF(AND(MOD(89,3)=0,CO235&gt;0),CO235*Assumptions!$B$59,0)</f>
        <v/>
      </c>
      <c r="CP236" s="401">
        <f>IF(AND(MOD(90,3)=0,CP235&gt;0),CP235*Assumptions!$B$59,0)</f>
        <v/>
      </c>
      <c r="CQ236" s="401">
        <f>IF(AND(MOD(91,3)=0,CQ235&gt;0),CQ235*Assumptions!$B$59,0)</f>
        <v/>
      </c>
      <c r="CR236" s="401">
        <f>IF(AND(MOD(92,3)=0,CR235&gt;0),CR235*Assumptions!$B$59,0)</f>
        <v/>
      </c>
      <c r="CS236" s="401">
        <f>IF(AND(MOD(93,3)=0,CS235&gt;0),CS235*Assumptions!$B$59,0)</f>
        <v/>
      </c>
      <c r="CT236" s="401">
        <f>IF(AND(MOD(94,3)=0,CT235&gt;0),CT235*Assumptions!$B$59,0)</f>
        <v/>
      </c>
      <c r="CU236" s="401">
        <f>IF(AND(MOD(95,3)=0,CU235&gt;0),CU235*Assumptions!$B$59,0)</f>
        <v/>
      </c>
      <c r="CV236" s="401">
        <f>IF(AND(MOD(96,3)=0,CV235&gt;0),CV235*Assumptions!$B$59,0)</f>
        <v/>
      </c>
      <c r="CW236" s="401">
        <f>IF(AND(MOD(97,3)=0,CW235&gt;0),CW235*Assumptions!$B$59,0)</f>
        <v/>
      </c>
      <c r="CX236" s="401">
        <f>IF(AND(MOD(98,3)=0,CX235&gt;0),CX235*Assumptions!$B$59,0)</f>
        <v/>
      </c>
      <c r="CY236" s="401">
        <f>IF(AND(MOD(99,3)=0,CY235&gt;0),CY235*Assumptions!$B$59,0)</f>
        <v/>
      </c>
      <c r="CZ236" s="401">
        <f>IF(AND(MOD(100,3)=0,CZ235&gt;0),CZ235*Assumptions!$B$59,0)</f>
        <v/>
      </c>
      <c r="DA236" s="401">
        <f>IF(AND(MOD(101,3)=0,DA235&gt;0),DA235*Assumptions!$B$59,0)</f>
        <v/>
      </c>
      <c r="DB236" s="401">
        <f>IF(AND(MOD(102,3)=0,DB235&gt;0),DB235*Assumptions!$B$59,0)</f>
        <v/>
      </c>
      <c r="DC236" s="401">
        <f>IF(AND(MOD(103,3)=0,DC235&gt;0),DC235*Assumptions!$B$59,0)</f>
        <v/>
      </c>
      <c r="DD236" s="401">
        <f>IF(AND(MOD(104,3)=0,DD235&gt;0),DD235*Assumptions!$B$59,0)</f>
        <v/>
      </c>
      <c r="DE236" s="401">
        <f>IF(AND(MOD(105,3)=0,DE235&gt;0),DE235*Assumptions!$B$59,0)</f>
        <v/>
      </c>
    </row>
    <row r="237" ht="15" customFormat="1" customHeight="1" s="380">
      <c r="A237" s="397" t="inlineStr">
        <is>
          <t>Scott - Deal Distribution</t>
        </is>
      </c>
      <c r="B237" s="401" t="n"/>
      <c r="C237" s="401" t="n"/>
      <c r="D237" s="401" t="n"/>
      <c r="E237" s="401" t="n">
        <v>0</v>
      </c>
      <c r="F237" s="401" t="n">
        <v>0</v>
      </c>
      <c r="G237" s="401" t="n">
        <v>0</v>
      </c>
      <c r="H237" s="401" t="n">
        <v>0</v>
      </c>
      <c r="I237" s="401" t="n">
        <v>0</v>
      </c>
      <c r="J237" s="401" t="n">
        <v>0</v>
      </c>
      <c r="K237" s="401" t="n">
        <v>0</v>
      </c>
      <c r="L237" s="401" t="n">
        <v>0</v>
      </c>
      <c r="M237" s="401" t="n">
        <v>0</v>
      </c>
      <c r="N237" s="401" t="n">
        <v>0</v>
      </c>
      <c r="O237" s="401" t="n">
        <v>0</v>
      </c>
      <c r="P237" s="401" t="n">
        <v>0</v>
      </c>
      <c r="Q237" s="401" t="n">
        <v>0</v>
      </c>
      <c r="R237" s="401" t="n">
        <v>0</v>
      </c>
      <c r="S237" s="401" t="n">
        <v>0</v>
      </c>
      <c r="T237" s="401" t="n">
        <v>0</v>
      </c>
      <c r="U237" s="401" t="n">
        <v>0</v>
      </c>
      <c r="V237" s="401" t="n">
        <v>0</v>
      </c>
      <c r="W237" s="401" t="n">
        <v>0</v>
      </c>
      <c r="X237" s="401" t="n">
        <v>0</v>
      </c>
      <c r="Y237" s="401" t="n">
        <v>0</v>
      </c>
      <c r="Z237" s="401" t="n">
        <v>0</v>
      </c>
      <c r="AA237" s="401" t="n">
        <v>0</v>
      </c>
      <c r="AB237" s="401" t="n">
        <v>0</v>
      </c>
      <c r="AC237" s="401" t="n">
        <v>0</v>
      </c>
      <c r="AD237" s="401" t="n">
        <v>0</v>
      </c>
      <c r="AE237" s="401" t="n">
        <v>0</v>
      </c>
      <c r="AF237" s="401" t="n">
        <v>0</v>
      </c>
      <c r="AG237" s="401" t="n">
        <v>0</v>
      </c>
      <c r="AH237" s="401" t="n">
        <v>0</v>
      </c>
      <c r="AI237" s="401" t="n">
        <v>0</v>
      </c>
      <c r="AJ237" s="401" t="n">
        <v>0</v>
      </c>
      <c r="AK237" s="401" t="n">
        <v>0</v>
      </c>
      <c r="AL237" s="401" t="n">
        <v>0</v>
      </c>
      <c r="AM237" s="401" t="n">
        <v>0</v>
      </c>
      <c r="AN237" s="401" t="n">
        <v>0</v>
      </c>
      <c r="AO237" s="401" t="n">
        <v>0</v>
      </c>
      <c r="AP237" s="401" t="n">
        <v>0</v>
      </c>
      <c r="AQ237" s="401" t="n">
        <v>0</v>
      </c>
      <c r="AR237" s="401" t="n">
        <v>0</v>
      </c>
      <c r="AS237" s="401" t="n">
        <v>0</v>
      </c>
      <c r="AT237" s="401" t="n">
        <v>0</v>
      </c>
      <c r="AU237" s="401" t="n">
        <v>0</v>
      </c>
      <c r="AV237" s="401" t="n">
        <v>0</v>
      </c>
      <c r="AW237" s="401" t="n">
        <v>0</v>
      </c>
      <c r="AX237" s="401" t="n">
        <v>0</v>
      </c>
      <c r="AY237" s="401" t="n">
        <v>0</v>
      </c>
      <c r="AZ237" s="401" t="n">
        <v>0</v>
      </c>
      <c r="BA237" s="401" t="n">
        <v>0</v>
      </c>
      <c r="BB237" s="401" t="n">
        <v>0</v>
      </c>
      <c r="BC237" s="401" t="n">
        <v>0</v>
      </c>
      <c r="BD237" s="401" t="n">
        <v>0</v>
      </c>
      <c r="BE237" s="401" t="n">
        <v>0</v>
      </c>
      <c r="BF237" s="401" t="n">
        <v>0</v>
      </c>
      <c r="BG237" s="401" t="n">
        <v>0</v>
      </c>
      <c r="BH237" s="401" t="n">
        <v>0</v>
      </c>
      <c r="BI237" s="401" t="n">
        <v>0</v>
      </c>
      <c r="BJ237" s="401" t="n">
        <v>0</v>
      </c>
      <c r="BK237" s="401" t="n">
        <v>0</v>
      </c>
      <c r="BL237" s="401" t="n">
        <v>0</v>
      </c>
      <c r="BM237" s="401" t="n">
        <v>0</v>
      </c>
      <c r="BN237" s="401" t="n">
        <v>0</v>
      </c>
      <c r="BO237" s="401" t="n">
        <v>0</v>
      </c>
      <c r="BP237" s="401" t="n">
        <v>0</v>
      </c>
      <c r="BQ237" s="401" t="n">
        <v>0</v>
      </c>
      <c r="BR237" s="401" t="n">
        <v>0</v>
      </c>
      <c r="BS237" s="401" t="n">
        <v>0</v>
      </c>
      <c r="BT237" s="401" t="n">
        <v>0</v>
      </c>
      <c r="BU237" s="401" t="n">
        <v>0</v>
      </c>
      <c r="BV237" s="401" t="n">
        <v>0</v>
      </c>
      <c r="BW237" s="401" t="n">
        <v>0</v>
      </c>
      <c r="BX237" s="401" t="n">
        <v>0</v>
      </c>
      <c r="BY237" s="401" t="n">
        <v>0</v>
      </c>
      <c r="BZ237" s="401" t="n">
        <v>0</v>
      </c>
      <c r="CA237" s="401" t="n">
        <v>0</v>
      </c>
      <c r="CB237" s="401" t="n">
        <v>0</v>
      </c>
      <c r="CC237" s="401" t="n">
        <v>0</v>
      </c>
      <c r="CD237" s="401" t="n">
        <v>0</v>
      </c>
      <c r="CE237" s="401" t="n">
        <v>0</v>
      </c>
      <c r="CF237" s="401" t="n">
        <v>0</v>
      </c>
      <c r="CG237" s="401" t="n">
        <v>0</v>
      </c>
      <c r="CH237" s="401" t="n">
        <v>0</v>
      </c>
      <c r="CI237" s="401" t="n">
        <v>0</v>
      </c>
      <c r="CJ237" s="401" t="n">
        <v>0</v>
      </c>
      <c r="CK237" s="401" t="n">
        <v>0</v>
      </c>
      <c r="CL237" s="401" t="n">
        <v>0</v>
      </c>
      <c r="CM237" s="401" t="n">
        <v>0</v>
      </c>
      <c r="CN237" s="401" t="n">
        <v>0</v>
      </c>
      <c r="CO237" s="401" t="n">
        <v>0</v>
      </c>
      <c r="CP237" s="401" t="n">
        <v>0</v>
      </c>
      <c r="CQ237" s="401" t="n">
        <v>0</v>
      </c>
      <c r="CR237" s="401" t="n">
        <v>0</v>
      </c>
      <c r="CS237" s="401" t="n">
        <v>0</v>
      </c>
      <c r="CT237" s="401" t="n"/>
      <c r="CU237" s="401" t="n"/>
      <c r="CV237" s="401" t="n"/>
      <c r="CW237" s="401" t="n"/>
      <c r="CX237" s="401" t="n"/>
      <c r="CY237" s="401" t="n"/>
      <c r="CZ237" s="401" t="n"/>
      <c r="DA237" s="401" t="n"/>
      <c r="DB237" s="401" t="n"/>
      <c r="DC237" s="401" t="n"/>
      <c r="DD237" s="401" t="n"/>
      <c r="DE237" s="401" t="n"/>
    </row>
    <row r="238" ht="15" customFormat="1" customHeight="1" s="380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Format="1" customHeight="1" s="380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Format="1" customHeight="1" s="380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Format="1" customHeight="1" s="380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Format="1" customHeight="1" s="380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Format="1" customHeight="1" s="380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Format="1" customHeight="1" s="380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Format="1" customHeight="1" s="380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Format="1" customHeight="1" s="380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Format="1" customHeight="1" s="380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Format="1" customHeight="1" s="380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Format="1" customHeight="1" s="380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Format="1" customHeight="1" s="380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Format="1" customHeight="1" s="380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Format="1" customHeight="1" s="380">
      <c r="A252" s="397" t="inlineStr">
        <is>
          <t>Califa</t>
        </is>
      </c>
      <c r="B252" s="392" t="n"/>
      <c r="C252" s="392" t="n"/>
      <c r="D252" s="392" t="n"/>
      <c r="E252" s="392">
        <f>Helpers!C8</f>
        <v/>
      </c>
      <c r="F252" s="392">
        <f>Helpers!D8</f>
        <v/>
      </c>
      <c r="G252" s="392">
        <f>Helpers!E8</f>
        <v/>
      </c>
      <c r="H252" s="392">
        <f>Helpers!F8</f>
        <v/>
      </c>
      <c r="I252" s="392">
        <f>Helpers!G8</f>
        <v/>
      </c>
      <c r="J252" s="392">
        <f>Helpers!H8</f>
        <v/>
      </c>
      <c r="K252" s="392">
        <f>Helpers!I8</f>
        <v/>
      </c>
      <c r="L252" s="392">
        <f>Helpers!J8</f>
        <v/>
      </c>
      <c r="M252" s="392">
        <f>Helpers!K8</f>
        <v/>
      </c>
      <c r="N252" s="392">
        <f>Helpers!L8</f>
        <v/>
      </c>
      <c r="O252" s="392">
        <f>Helpers!M8</f>
        <v/>
      </c>
      <c r="P252" s="392">
        <f>Helpers!N8</f>
        <v/>
      </c>
      <c r="Q252" s="392">
        <f>Helpers!O8</f>
        <v/>
      </c>
      <c r="R252" s="392">
        <f>Helpers!P8</f>
        <v/>
      </c>
      <c r="S252" s="392">
        <f>Helpers!Q8</f>
        <v/>
      </c>
      <c r="T252" s="392">
        <f>Helpers!R8</f>
        <v/>
      </c>
      <c r="U252" s="392">
        <f>Helpers!S8</f>
        <v/>
      </c>
      <c r="V252" s="392">
        <f>Helpers!T8</f>
        <v/>
      </c>
      <c r="W252" s="392">
        <f>Helpers!U8</f>
        <v/>
      </c>
      <c r="X252" s="392">
        <f>Helpers!V8</f>
        <v/>
      </c>
      <c r="Y252" s="392">
        <f>Helpers!W8</f>
        <v/>
      </c>
      <c r="Z252" s="392">
        <f>Helpers!X8</f>
        <v/>
      </c>
      <c r="AA252" s="392">
        <f>Helpers!Y8</f>
        <v/>
      </c>
      <c r="AB252" s="392">
        <f>Helpers!Z8</f>
        <v/>
      </c>
      <c r="AC252" s="392">
        <f>Helpers!AA8</f>
        <v/>
      </c>
      <c r="AD252" s="392">
        <f>Helpers!AB8</f>
        <v/>
      </c>
      <c r="AE252" s="392">
        <f>Helpers!AC8</f>
        <v/>
      </c>
      <c r="AF252" s="392">
        <f>Helpers!AD8</f>
        <v/>
      </c>
      <c r="AG252" s="392">
        <f>Helpers!AE8</f>
        <v/>
      </c>
      <c r="AH252" s="392">
        <f>Helpers!AF8</f>
        <v/>
      </c>
      <c r="AI252" s="392">
        <f>Helpers!AG8</f>
        <v/>
      </c>
      <c r="AJ252" s="392">
        <f>Helpers!AH8</f>
        <v/>
      </c>
      <c r="AK252" s="392">
        <f>Helpers!AI8</f>
        <v/>
      </c>
      <c r="AL252" s="392">
        <f>Helpers!AJ8</f>
        <v/>
      </c>
      <c r="AM252" s="392">
        <f>Helpers!AK8</f>
        <v/>
      </c>
      <c r="AN252" s="392">
        <f>Helpers!AL8</f>
        <v/>
      </c>
      <c r="AO252" s="392">
        <f>Helpers!AM8</f>
        <v/>
      </c>
      <c r="AP252" s="392">
        <f>Helpers!AN8</f>
        <v/>
      </c>
      <c r="AQ252" s="392">
        <f>Helpers!AO8</f>
        <v/>
      </c>
      <c r="AR252" s="392">
        <f>Helpers!AP8</f>
        <v/>
      </c>
      <c r="AS252" s="392">
        <f>Helpers!AQ8</f>
        <v/>
      </c>
      <c r="AT252" s="392">
        <f>Helpers!AR8</f>
        <v/>
      </c>
      <c r="AU252" s="392">
        <f>Helpers!AS8</f>
        <v/>
      </c>
      <c r="AV252" s="392">
        <f>Helpers!AT8</f>
        <v/>
      </c>
      <c r="AW252" s="392">
        <f>Helpers!AU8</f>
        <v/>
      </c>
      <c r="AX252" s="392">
        <f>Helpers!AV8</f>
        <v/>
      </c>
      <c r="AY252" s="392">
        <f>Helpers!AW8</f>
        <v/>
      </c>
      <c r="AZ252" s="392">
        <f>Helpers!AX8</f>
        <v/>
      </c>
      <c r="BA252" s="392">
        <f>Helpers!AY8</f>
        <v/>
      </c>
      <c r="BB252" s="392">
        <f>Helpers!AZ8</f>
        <v/>
      </c>
      <c r="BC252" s="392">
        <f>Helpers!BA8</f>
        <v/>
      </c>
      <c r="BD252" s="392">
        <f>Helpers!BB8</f>
        <v/>
      </c>
      <c r="BE252" s="392">
        <f>Helpers!BC8</f>
        <v/>
      </c>
      <c r="BF252" s="392">
        <f>Helpers!BD8</f>
        <v/>
      </c>
      <c r="BG252" s="392">
        <f>Helpers!BE8</f>
        <v/>
      </c>
      <c r="BH252" s="392">
        <f>Helpers!BF8</f>
        <v/>
      </c>
      <c r="BI252" s="392">
        <f>Helpers!BG8</f>
        <v/>
      </c>
      <c r="BJ252" s="392">
        <f>Helpers!BH8</f>
        <v/>
      </c>
      <c r="BK252" s="392">
        <f>Helpers!BI8</f>
        <v/>
      </c>
      <c r="BL252" s="392">
        <f>Helpers!BJ8</f>
        <v/>
      </c>
      <c r="BM252" s="392">
        <f>Helpers!BK8</f>
        <v/>
      </c>
      <c r="BN252" s="392">
        <f>Helpers!BL8</f>
        <v/>
      </c>
      <c r="BO252" s="392">
        <f>Helpers!BM8</f>
        <v/>
      </c>
      <c r="BP252" s="392">
        <f>Helpers!BN8</f>
        <v/>
      </c>
      <c r="BQ252" s="392">
        <f>Helpers!BO8</f>
        <v/>
      </c>
      <c r="BR252" s="392">
        <f>Helpers!BP8</f>
        <v/>
      </c>
      <c r="BS252" s="392">
        <f>Helpers!BQ8</f>
        <v/>
      </c>
      <c r="BT252" s="392">
        <f>Helpers!BR8</f>
        <v/>
      </c>
      <c r="BU252" s="392">
        <f>Helpers!BS8</f>
        <v/>
      </c>
      <c r="BV252" s="392">
        <f>Helpers!BT8</f>
        <v/>
      </c>
      <c r="BW252" s="392">
        <f>Helpers!BU8</f>
        <v/>
      </c>
      <c r="BX252" s="392">
        <f>Helpers!BV8</f>
        <v/>
      </c>
      <c r="BY252" s="392">
        <f>Helpers!BW8</f>
        <v/>
      </c>
      <c r="BZ252" s="392">
        <f>Helpers!BX8</f>
        <v/>
      </c>
      <c r="CA252" s="392">
        <f>Helpers!BY8</f>
        <v/>
      </c>
      <c r="CB252" s="392">
        <f>Helpers!BZ8</f>
        <v/>
      </c>
      <c r="CC252" s="392">
        <f>Helpers!CA8</f>
        <v/>
      </c>
      <c r="CD252" s="392">
        <f>Helpers!CB8</f>
        <v/>
      </c>
      <c r="CE252" s="392">
        <f>Helpers!CC8</f>
        <v/>
      </c>
      <c r="CF252" s="392">
        <f>Helpers!CD8</f>
        <v/>
      </c>
      <c r="CG252" s="392">
        <f>Helpers!CE8</f>
        <v/>
      </c>
      <c r="CH252" s="392">
        <f>Helpers!CF8</f>
        <v/>
      </c>
      <c r="CI252" s="392">
        <f>Helpers!CG8</f>
        <v/>
      </c>
      <c r="CJ252" s="392">
        <f>Helpers!CH8</f>
        <v/>
      </c>
      <c r="CK252" s="392">
        <f>Helpers!CI8</f>
        <v/>
      </c>
      <c r="CL252" s="392">
        <f>Helpers!CJ8</f>
        <v/>
      </c>
      <c r="CM252" s="392">
        <f>Helpers!CK8</f>
        <v/>
      </c>
      <c r="CN252" s="392">
        <f>Helpers!CL8</f>
        <v/>
      </c>
      <c r="CO252" s="392">
        <f>Helpers!CM8</f>
        <v/>
      </c>
      <c r="CP252" s="392">
        <f>Helpers!CN8</f>
        <v/>
      </c>
      <c r="CQ252" s="392">
        <f>Helpers!CO8</f>
        <v/>
      </c>
      <c r="CR252" s="392">
        <f>Helpers!CP8</f>
        <v/>
      </c>
      <c r="CS252" s="392">
        <f>Helpers!CQ8</f>
        <v/>
      </c>
      <c r="CT252" s="392">
        <f>Helpers!CR8</f>
        <v/>
      </c>
      <c r="CU252" s="392">
        <f>Helpers!CS8</f>
        <v/>
      </c>
      <c r="CV252" s="392">
        <f>Helpers!CT8</f>
        <v/>
      </c>
      <c r="CW252" s="392">
        <f>Helpers!CU8</f>
        <v/>
      </c>
      <c r="CX252" s="392">
        <f>Helpers!CV8</f>
        <v/>
      </c>
      <c r="CY252" s="392">
        <f>Helpers!CW8</f>
        <v/>
      </c>
      <c r="CZ252" s="392">
        <f>Helpers!CX8</f>
        <v/>
      </c>
      <c r="DA252" s="392">
        <f>Helpers!CY8</f>
        <v/>
      </c>
      <c r="DB252" s="392">
        <f>Helpers!CZ8</f>
        <v/>
      </c>
      <c r="DC252" s="392">
        <f>Helpers!DA8</f>
        <v/>
      </c>
      <c r="DD252" s="392">
        <f>Helpers!DB8</f>
        <v/>
      </c>
      <c r="DE252" s="392">
        <f>Helpers!DC8</f>
        <v/>
      </c>
    </row>
    <row r="253" ht="15" customFormat="1" customHeight="1" s="380">
      <c r="A253" s="397" t="inlineStr">
        <is>
          <t>Whipple</t>
        </is>
      </c>
      <c r="B253" s="392" t="n"/>
      <c r="C253" s="392" t="n"/>
      <c r="D253" s="392" t="n"/>
      <c r="E253" s="392">
        <f>Helpers!C9</f>
        <v/>
      </c>
      <c r="F253" s="392">
        <f>Helpers!D9</f>
        <v/>
      </c>
      <c r="G253" s="392">
        <f>Helpers!E9</f>
        <v/>
      </c>
      <c r="H253" s="392">
        <f>Helpers!F9</f>
        <v/>
      </c>
      <c r="I253" s="392">
        <f>Helpers!G9</f>
        <v/>
      </c>
      <c r="J253" s="392">
        <f>Helpers!H9</f>
        <v/>
      </c>
      <c r="K253" s="392">
        <f>Helpers!I9</f>
        <v/>
      </c>
      <c r="L253" s="392">
        <f>Helpers!J9</f>
        <v/>
      </c>
      <c r="M253" s="392">
        <f>Helpers!K9</f>
        <v/>
      </c>
      <c r="N253" s="392">
        <f>Helpers!L9</f>
        <v/>
      </c>
      <c r="O253" s="392">
        <f>Helpers!M9</f>
        <v/>
      </c>
      <c r="P253" s="392">
        <f>Helpers!N9</f>
        <v/>
      </c>
      <c r="Q253" s="392">
        <f>Helpers!O9</f>
        <v/>
      </c>
      <c r="R253" s="392">
        <f>Helpers!P9</f>
        <v/>
      </c>
      <c r="S253" s="392">
        <f>Helpers!Q9</f>
        <v/>
      </c>
      <c r="T253" s="392">
        <f>Helpers!R9</f>
        <v/>
      </c>
      <c r="U253" s="392">
        <f>Helpers!S9</f>
        <v/>
      </c>
      <c r="V253" s="392">
        <f>Helpers!T9</f>
        <v/>
      </c>
      <c r="W253" s="392">
        <f>Helpers!U9</f>
        <v/>
      </c>
      <c r="X253" s="392">
        <f>Helpers!V9</f>
        <v/>
      </c>
      <c r="Y253" s="392">
        <f>Helpers!W9</f>
        <v/>
      </c>
      <c r="Z253" s="392">
        <f>Helpers!X9</f>
        <v/>
      </c>
      <c r="AA253" s="392">
        <f>Helpers!Y9</f>
        <v/>
      </c>
      <c r="AB253" s="392">
        <f>Helpers!Z9</f>
        <v/>
      </c>
      <c r="AC253" s="392">
        <f>Helpers!AA9</f>
        <v/>
      </c>
      <c r="AD253" s="392">
        <f>Helpers!AB9</f>
        <v/>
      </c>
      <c r="AE253" s="392">
        <f>Helpers!AC9</f>
        <v/>
      </c>
      <c r="AF253" s="392">
        <f>Helpers!AD9</f>
        <v/>
      </c>
      <c r="AG253" s="392">
        <f>Helpers!AE9</f>
        <v/>
      </c>
      <c r="AH253" s="392">
        <f>Helpers!AF9</f>
        <v/>
      </c>
      <c r="AI253" s="392">
        <f>Helpers!AG9</f>
        <v/>
      </c>
      <c r="AJ253" s="392">
        <f>Helpers!AH9</f>
        <v/>
      </c>
      <c r="AK253" s="392">
        <f>Helpers!AI9</f>
        <v/>
      </c>
      <c r="AL253" s="392">
        <f>Helpers!AJ9</f>
        <v/>
      </c>
      <c r="AM253" s="392">
        <f>Helpers!AK9</f>
        <v/>
      </c>
      <c r="AN253" s="392">
        <f>Helpers!AL9</f>
        <v/>
      </c>
      <c r="AO253" s="392">
        <f>Helpers!AM9</f>
        <v/>
      </c>
      <c r="AP253" s="392">
        <f>Helpers!AN9</f>
        <v/>
      </c>
      <c r="AQ253" s="392">
        <f>Helpers!AO9</f>
        <v/>
      </c>
      <c r="AR253" s="392">
        <f>Helpers!AP9</f>
        <v/>
      </c>
      <c r="AS253" s="392">
        <f>Helpers!AQ9</f>
        <v/>
      </c>
      <c r="AT253" s="392">
        <f>Helpers!AR9</f>
        <v/>
      </c>
      <c r="AU253" s="392">
        <f>Helpers!AS9</f>
        <v/>
      </c>
      <c r="AV253" s="392">
        <f>Helpers!AT9</f>
        <v/>
      </c>
      <c r="AW253" s="392">
        <f>Helpers!AU9</f>
        <v/>
      </c>
      <c r="AX253" s="392">
        <f>Helpers!AV9</f>
        <v/>
      </c>
      <c r="AY253" s="392">
        <f>Helpers!AW9</f>
        <v/>
      </c>
      <c r="AZ253" s="392">
        <f>Helpers!AX9</f>
        <v/>
      </c>
      <c r="BA253" s="392">
        <f>Helpers!AY9</f>
        <v/>
      </c>
      <c r="BB253" s="392">
        <f>Helpers!AZ9</f>
        <v/>
      </c>
      <c r="BC253" s="392">
        <f>Helpers!BA9</f>
        <v/>
      </c>
      <c r="BD253" s="392">
        <f>Helpers!BB9</f>
        <v/>
      </c>
      <c r="BE253" s="392">
        <f>Helpers!BC9</f>
        <v/>
      </c>
      <c r="BF253" s="392">
        <f>Helpers!BD9</f>
        <v/>
      </c>
      <c r="BG253" s="392">
        <f>Helpers!BE9</f>
        <v/>
      </c>
      <c r="BH253" s="392">
        <f>Helpers!BF9</f>
        <v/>
      </c>
      <c r="BI253" s="392">
        <f>Helpers!BG9</f>
        <v/>
      </c>
      <c r="BJ253" s="392">
        <f>Helpers!BH9</f>
        <v/>
      </c>
      <c r="BK253" s="392">
        <f>Helpers!BI9</f>
        <v/>
      </c>
      <c r="BL253" s="392">
        <f>Helpers!BJ9</f>
        <v/>
      </c>
      <c r="BM253" s="392">
        <f>Helpers!BK9</f>
        <v/>
      </c>
      <c r="BN253" s="392">
        <f>Helpers!BL9</f>
        <v/>
      </c>
      <c r="BO253" s="392">
        <f>Helpers!BM9</f>
        <v/>
      </c>
      <c r="BP253" s="392">
        <f>Helpers!BN9</f>
        <v/>
      </c>
      <c r="BQ253" s="392">
        <f>Helpers!BO9</f>
        <v/>
      </c>
      <c r="BR253" s="392">
        <f>Helpers!BP9</f>
        <v/>
      </c>
      <c r="BS253" s="392">
        <f>Helpers!BQ9</f>
        <v/>
      </c>
      <c r="BT253" s="392">
        <f>Helpers!BR9</f>
        <v/>
      </c>
      <c r="BU253" s="392">
        <f>Helpers!BS9</f>
        <v/>
      </c>
      <c r="BV253" s="392">
        <f>Helpers!BT9</f>
        <v/>
      </c>
      <c r="BW253" s="392">
        <f>Helpers!BU9</f>
        <v/>
      </c>
      <c r="BX253" s="392">
        <f>Helpers!BV9</f>
        <v/>
      </c>
      <c r="BY253" s="392">
        <f>Helpers!BW9</f>
        <v/>
      </c>
      <c r="BZ253" s="392">
        <f>Helpers!BX9</f>
        <v/>
      </c>
      <c r="CA253" s="392">
        <f>Helpers!BY9</f>
        <v/>
      </c>
      <c r="CB253" s="392">
        <f>Helpers!BZ9</f>
        <v/>
      </c>
      <c r="CC253" s="392">
        <f>Helpers!CA9</f>
        <v/>
      </c>
      <c r="CD253" s="392">
        <f>Helpers!CB9</f>
        <v/>
      </c>
      <c r="CE253" s="392">
        <f>Helpers!CC9</f>
        <v/>
      </c>
      <c r="CF253" s="392">
        <f>Helpers!CD9</f>
        <v/>
      </c>
      <c r="CG253" s="392">
        <f>Helpers!CE9</f>
        <v/>
      </c>
      <c r="CH253" s="392">
        <f>Helpers!CF9</f>
        <v/>
      </c>
      <c r="CI253" s="392">
        <f>Helpers!CG9</f>
        <v/>
      </c>
      <c r="CJ253" s="392">
        <f>Helpers!CH9</f>
        <v/>
      </c>
      <c r="CK253" s="392">
        <f>Helpers!CI9</f>
        <v/>
      </c>
      <c r="CL253" s="392">
        <f>Helpers!CJ9</f>
        <v/>
      </c>
      <c r="CM253" s="392">
        <f>Helpers!CK9</f>
        <v/>
      </c>
      <c r="CN253" s="392">
        <f>Helpers!CL9</f>
        <v/>
      </c>
      <c r="CO253" s="392">
        <f>Helpers!CM9</f>
        <v/>
      </c>
      <c r="CP253" s="392">
        <f>Helpers!CN9</f>
        <v/>
      </c>
      <c r="CQ253" s="392">
        <f>Helpers!CO9</f>
        <v/>
      </c>
      <c r="CR253" s="392">
        <f>Helpers!CP9</f>
        <v/>
      </c>
      <c r="CS253" s="392">
        <f>Helpers!CQ9</f>
        <v/>
      </c>
      <c r="CT253" s="392">
        <f>Helpers!CR9</f>
        <v/>
      </c>
      <c r="CU253" s="392">
        <f>Helpers!CS9</f>
        <v/>
      </c>
      <c r="CV253" s="392">
        <f>Helpers!CT9</f>
        <v/>
      </c>
      <c r="CW253" s="392">
        <f>Helpers!CU9</f>
        <v/>
      </c>
      <c r="CX253" s="392">
        <f>Helpers!CV9</f>
        <v/>
      </c>
      <c r="CY253" s="392">
        <f>Helpers!CW9</f>
        <v/>
      </c>
      <c r="CZ253" s="392">
        <f>Helpers!CX9</f>
        <v/>
      </c>
      <c r="DA253" s="392">
        <f>Helpers!CY9</f>
        <v/>
      </c>
      <c r="DB253" s="392">
        <f>Helpers!CZ9</f>
        <v/>
      </c>
      <c r="DC253" s="392">
        <f>Helpers!DA9</f>
        <v/>
      </c>
      <c r="DD253" s="392">
        <f>Helpers!DB9</f>
        <v/>
      </c>
      <c r="DE253" s="392">
        <f>Helpers!DC9</f>
        <v/>
      </c>
    </row>
    <row r="254" ht="15" customFormat="1" customHeight="1" s="380">
      <c r="A254" s="397" t="inlineStr">
        <is>
          <t>Francis</t>
        </is>
      </c>
      <c r="B254" s="392" t="n"/>
      <c r="C254" s="392" t="n"/>
      <c r="D254" s="392" t="n"/>
      <c r="E254" s="392">
        <f>Helpers!C10</f>
        <v/>
      </c>
      <c r="F254" s="392">
        <f>Helpers!D10</f>
        <v/>
      </c>
      <c r="G254" s="392">
        <f>Helpers!E10</f>
        <v/>
      </c>
      <c r="H254" s="392">
        <f>Helpers!F10</f>
        <v/>
      </c>
      <c r="I254" s="392">
        <f>Helpers!G10</f>
        <v/>
      </c>
      <c r="J254" s="392">
        <f>Helpers!H10</f>
        <v/>
      </c>
      <c r="K254" s="392">
        <f>Helpers!I10</f>
        <v/>
      </c>
      <c r="L254" s="392">
        <f>Helpers!J10</f>
        <v/>
      </c>
      <c r="M254" s="392">
        <f>Helpers!K10</f>
        <v/>
      </c>
      <c r="N254" s="392">
        <f>Helpers!L10</f>
        <v/>
      </c>
      <c r="O254" s="392">
        <f>Helpers!M10</f>
        <v/>
      </c>
      <c r="P254" s="392">
        <f>Helpers!N10</f>
        <v/>
      </c>
      <c r="Q254" s="392">
        <f>Helpers!O10</f>
        <v/>
      </c>
      <c r="R254" s="392">
        <f>Helpers!P10</f>
        <v/>
      </c>
      <c r="S254" s="392">
        <f>Helpers!Q10</f>
        <v/>
      </c>
      <c r="T254" s="392">
        <f>Helpers!R10</f>
        <v/>
      </c>
      <c r="U254" s="392">
        <f>Helpers!S10</f>
        <v/>
      </c>
      <c r="V254" s="392">
        <f>Helpers!T10</f>
        <v/>
      </c>
      <c r="W254" s="392">
        <f>Helpers!U10</f>
        <v/>
      </c>
      <c r="X254" s="392">
        <f>Helpers!V10</f>
        <v/>
      </c>
      <c r="Y254" s="392">
        <f>Helpers!W10</f>
        <v/>
      </c>
      <c r="Z254" s="392">
        <f>Helpers!X10</f>
        <v/>
      </c>
      <c r="AA254" s="392">
        <f>Helpers!Y10</f>
        <v/>
      </c>
      <c r="AB254" s="392">
        <f>Helpers!Z10</f>
        <v/>
      </c>
      <c r="AC254" s="392">
        <f>Helpers!AA10</f>
        <v/>
      </c>
      <c r="AD254" s="392">
        <f>Helpers!AB10</f>
        <v/>
      </c>
      <c r="AE254" s="392">
        <f>Helpers!AC10</f>
        <v/>
      </c>
      <c r="AF254" s="392">
        <f>Helpers!AD10</f>
        <v/>
      </c>
      <c r="AG254" s="392">
        <f>Helpers!AE10</f>
        <v/>
      </c>
      <c r="AH254" s="392">
        <f>Helpers!AF10</f>
        <v/>
      </c>
      <c r="AI254" s="392">
        <f>Helpers!AG10</f>
        <v/>
      </c>
      <c r="AJ254" s="392">
        <f>Helpers!AH10</f>
        <v/>
      </c>
      <c r="AK254" s="392">
        <f>Helpers!AI10</f>
        <v/>
      </c>
      <c r="AL254" s="392">
        <f>Helpers!AJ10</f>
        <v/>
      </c>
      <c r="AM254" s="392">
        <f>Helpers!AK10</f>
        <v/>
      </c>
      <c r="AN254" s="392">
        <f>Helpers!AL10</f>
        <v/>
      </c>
      <c r="AO254" s="392">
        <f>Helpers!AM10</f>
        <v/>
      </c>
      <c r="AP254" s="392">
        <f>Helpers!AN10</f>
        <v/>
      </c>
      <c r="AQ254" s="392">
        <f>Helpers!AO10</f>
        <v/>
      </c>
      <c r="AR254" s="392">
        <f>Helpers!AP10</f>
        <v/>
      </c>
      <c r="AS254" s="392">
        <f>Helpers!AQ10</f>
        <v/>
      </c>
      <c r="AT254" s="392">
        <f>Helpers!AR10</f>
        <v/>
      </c>
      <c r="AU254" s="392">
        <f>Helpers!AS10</f>
        <v/>
      </c>
      <c r="AV254" s="392">
        <f>Helpers!AT10</f>
        <v/>
      </c>
      <c r="AW254" s="392">
        <f>Helpers!AU10</f>
        <v/>
      </c>
      <c r="AX254" s="392">
        <f>Helpers!AV10</f>
        <v/>
      </c>
      <c r="AY254" s="392">
        <f>Helpers!AW10</f>
        <v/>
      </c>
      <c r="AZ254" s="392">
        <f>Helpers!AX10</f>
        <v/>
      </c>
      <c r="BA254" s="392">
        <f>Helpers!AY10</f>
        <v/>
      </c>
      <c r="BB254" s="392">
        <f>Helpers!AZ10</f>
        <v/>
      </c>
      <c r="BC254" s="392">
        <f>Helpers!BA10</f>
        <v/>
      </c>
      <c r="BD254" s="392">
        <f>Helpers!BB10</f>
        <v/>
      </c>
      <c r="BE254" s="392">
        <f>Helpers!BC10</f>
        <v/>
      </c>
      <c r="BF254" s="392">
        <f>Helpers!BD10</f>
        <v/>
      </c>
      <c r="BG254" s="392">
        <f>Helpers!BE10</f>
        <v/>
      </c>
      <c r="BH254" s="392">
        <f>Helpers!BF10</f>
        <v/>
      </c>
      <c r="BI254" s="392">
        <f>Helpers!BG10</f>
        <v/>
      </c>
      <c r="BJ254" s="392">
        <f>Helpers!BH10</f>
        <v/>
      </c>
      <c r="BK254" s="392">
        <f>Helpers!BI10</f>
        <v/>
      </c>
      <c r="BL254" s="392">
        <f>Helpers!BJ10</f>
        <v/>
      </c>
      <c r="BM254" s="392">
        <f>Helpers!BK10</f>
        <v/>
      </c>
      <c r="BN254" s="392">
        <f>Helpers!BL10</f>
        <v/>
      </c>
      <c r="BO254" s="392">
        <f>Helpers!BM10</f>
        <v/>
      </c>
      <c r="BP254" s="392">
        <f>Helpers!BN10</f>
        <v/>
      </c>
      <c r="BQ254" s="392">
        <f>Helpers!BO10</f>
        <v/>
      </c>
      <c r="BR254" s="392">
        <f>Helpers!BP10</f>
        <v/>
      </c>
      <c r="BS254" s="392">
        <f>Helpers!BQ10</f>
        <v/>
      </c>
      <c r="BT254" s="392">
        <f>Helpers!BR10</f>
        <v/>
      </c>
      <c r="BU254" s="392">
        <f>Helpers!BS10</f>
        <v/>
      </c>
      <c r="BV254" s="392">
        <f>Helpers!BT10</f>
        <v/>
      </c>
      <c r="BW254" s="392">
        <f>Helpers!BU10</f>
        <v/>
      </c>
      <c r="BX254" s="392">
        <f>Helpers!BV10</f>
        <v/>
      </c>
      <c r="BY254" s="392">
        <f>Helpers!BW10</f>
        <v/>
      </c>
      <c r="BZ254" s="392">
        <f>Helpers!BX10</f>
        <v/>
      </c>
      <c r="CA254" s="392">
        <f>Helpers!BY10</f>
        <v/>
      </c>
      <c r="CB254" s="392">
        <f>Helpers!BZ10</f>
        <v/>
      </c>
      <c r="CC254" s="392">
        <f>Helpers!CA10</f>
        <v/>
      </c>
      <c r="CD254" s="392">
        <f>Helpers!CB10</f>
        <v/>
      </c>
      <c r="CE254" s="392">
        <f>Helpers!CC10</f>
        <v/>
      </c>
      <c r="CF254" s="392">
        <f>Helpers!CD10</f>
        <v/>
      </c>
      <c r="CG254" s="392">
        <f>Helpers!CE10</f>
        <v/>
      </c>
      <c r="CH254" s="392">
        <f>Helpers!CF10</f>
        <v/>
      </c>
      <c r="CI254" s="392">
        <f>Helpers!CG10</f>
        <v/>
      </c>
      <c r="CJ254" s="392">
        <f>Helpers!CH10</f>
        <v/>
      </c>
      <c r="CK254" s="392">
        <f>Helpers!CI10</f>
        <v/>
      </c>
      <c r="CL254" s="392">
        <f>Helpers!CJ10</f>
        <v/>
      </c>
      <c r="CM254" s="392">
        <f>Helpers!CK10</f>
        <v/>
      </c>
      <c r="CN254" s="392">
        <f>Helpers!CL10</f>
        <v/>
      </c>
      <c r="CO254" s="392">
        <f>Helpers!CM10</f>
        <v/>
      </c>
      <c r="CP254" s="392">
        <f>Helpers!CN10</f>
        <v/>
      </c>
      <c r="CQ254" s="392">
        <f>Helpers!CO10</f>
        <v/>
      </c>
      <c r="CR254" s="392">
        <f>Helpers!CP10</f>
        <v/>
      </c>
      <c r="CS254" s="392">
        <f>Helpers!CQ10</f>
        <v/>
      </c>
      <c r="CT254" s="392">
        <f>Helpers!CR10</f>
        <v/>
      </c>
      <c r="CU254" s="392">
        <f>Helpers!CS10</f>
        <v/>
      </c>
      <c r="CV254" s="392">
        <f>Helpers!CT10</f>
        <v/>
      </c>
      <c r="CW254" s="392">
        <f>Helpers!CU10</f>
        <v/>
      </c>
      <c r="CX254" s="392">
        <f>Helpers!CV10</f>
        <v/>
      </c>
      <c r="CY254" s="392">
        <f>Helpers!CW10</f>
        <v/>
      </c>
      <c r="CZ254" s="392">
        <f>Helpers!CX10</f>
        <v/>
      </c>
      <c r="DA254" s="392">
        <f>Helpers!CY10</f>
        <v/>
      </c>
      <c r="DB254" s="392">
        <f>Helpers!CZ10</f>
        <v/>
      </c>
      <c r="DC254" s="392">
        <f>Helpers!DA10</f>
        <v/>
      </c>
      <c r="DD254" s="392">
        <f>Helpers!DB10</f>
        <v/>
      </c>
      <c r="DE254" s="392">
        <f>Helpers!DC10</f>
        <v/>
      </c>
    </row>
    <row r="255" ht="15" customFormat="1" customHeight="1" s="380">
      <c r="A255" s="397" t="inlineStr">
        <is>
          <t>Lexington</t>
        </is>
      </c>
      <c r="B255" s="392" t="n"/>
      <c r="C255" s="392" t="n"/>
      <c r="D255" s="392" t="n"/>
      <c r="E255" s="392">
        <f>Helpers!C11</f>
        <v/>
      </c>
      <c r="F255" s="392">
        <f>Helpers!D11</f>
        <v/>
      </c>
      <c r="G255" s="392">
        <f>Helpers!E11</f>
        <v/>
      </c>
      <c r="H255" s="392">
        <f>Helpers!F11</f>
        <v/>
      </c>
      <c r="I255" s="392">
        <f>Helpers!G11</f>
        <v/>
      </c>
      <c r="J255" s="392">
        <f>Helpers!H11</f>
        <v/>
      </c>
      <c r="K255" s="392">
        <f>Helpers!I11</f>
        <v/>
      </c>
      <c r="L255" s="392">
        <f>Helpers!J11</f>
        <v/>
      </c>
      <c r="M255" s="392">
        <f>Helpers!K11</f>
        <v/>
      </c>
      <c r="N255" s="392">
        <f>Helpers!L11</f>
        <v/>
      </c>
      <c r="O255" s="392">
        <f>Helpers!M11</f>
        <v/>
      </c>
      <c r="P255" s="392">
        <f>Helpers!N11</f>
        <v/>
      </c>
      <c r="Q255" s="392">
        <f>Helpers!O11</f>
        <v/>
      </c>
      <c r="R255" s="392">
        <f>Helpers!P11</f>
        <v/>
      </c>
      <c r="S255" s="392">
        <f>Helpers!Q11</f>
        <v/>
      </c>
      <c r="T255" s="392">
        <f>Helpers!R11</f>
        <v/>
      </c>
      <c r="U255" s="392">
        <f>Helpers!S11</f>
        <v/>
      </c>
      <c r="V255" s="392">
        <f>Helpers!T11</f>
        <v/>
      </c>
      <c r="W255" s="392">
        <f>Helpers!U11</f>
        <v/>
      </c>
      <c r="X255" s="392">
        <f>Helpers!V11</f>
        <v/>
      </c>
      <c r="Y255" s="392">
        <f>Helpers!W11</f>
        <v/>
      </c>
      <c r="Z255" s="392">
        <f>Helpers!X11</f>
        <v/>
      </c>
      <c r="AA255" s="392">
        <f>Helpers!Y11</f>
        <v/>
      </c>
      <c r="AB255" s="392">
        <f>Helpers!Z11</f>
        <v/>
      </c>
      <c r="AC255" s="392">
        <f>Helpers!AA11</f>
        <v/>
      </c>
      <c r="AD255" s="392">
        <f>Helpers!AB11</f>
        <v/>
      </c>
      <c r="AE255" s="392">
        <f>Helpers!AC11</f>
        <v/>
      </c>
      <c r="AF255" s="392">
        <f>Helpers!AD11</f>
        <v/>
      </c>
      <c r="AG255" s="392">
        <f>Helpers!AE11</f>
        <v/>
      </c>
      <c r="AH255" s="392">
        <f>Helpers!AF11</f>
        <v/>
      </c>
      <c r="AI255" s="392">
        <f>Helpers!AG11</f>
        <v/>
      </c>
      <c r="AJ255" s="392">
        <f>Helpers!AH11</f>
        <v/>
      </c>
      <c r="AK255" s="392">
        <f>Helpers!AI11</f>
        <v/>
      </c>
      <c r="AL255" s="392">
        <f>Helpers!AJ11</f>
        <v/>
      </c>
      <c r="AM255" s="392">
        <f>Helpers!AK11</f>
        <v/>
      </c>
      <c r="AN255" s="392">
        <f>Helpers!AL11</f>
        <v/>
      </c>
      <c r="AO255" s="392">
        <f>Helpers!AM11</f>
        <v/>
      </c>
      <c r="AP255" s="392">
        <f>Helpers!AN11</f>
        <v/>
      </c>
      <c r="AQ255" s="392">
        <f>Helpers!AO11</f>
        <v/>
      </c>
      <c r="AR255" s="392">
        <f>Helpers!AP11</f>
        <v/>
      </c>
      <c r="AS255" s="392">
        <f>Helpers!AQ11</f>
        <v/>
      </c>
      <c r="AT255" s="392">
        <f>Helpers!AR11</f>
        <v/>
      </c>
      <c r="AU255" s="392">
        <f>Helpers!AS11</f>
        <v/>
      </c>
      <c r="AV255" s="392">
        <f>Helpers!AT11</f>
        <v/>
      </c>
      <c r="AW255" s="392">
        <f>Helpers!AU11</f>
        <v/>
      </c>
      <c r="AX255" s="392">
        <f>Helpers!AV11</f>
        <v/>
      </c>
      <c r="AY255" s="392">
        <f>Helpers!AW11</f>
        <v/>
      </c>
      <c r="AZ255" s="392">
        <f>Helpers!AX11</f>
        <v/>
      </c>
      <c r="BA255" s="392">
        <f>Helpers!AY11</f>
        <v/>
      </c>
      <c r="BB255" s="392">
        <f>Helpers!AZ11</f>
        <v/>
      </c>
      <c r="BC255" s="392">
        <f>Helpers!BA11</f>
        <v/>
      </c>
      <c r="BD255" s="392">
        <f>Helpers!BB11</f>
        <v/>
      </c>
      <c r="BE255" s="392">
        <f>Helpers!BC11</f>
        <v/>
      </c>
      <c r="BF255" s="392">
        <f>Helpers!BD11</f>
        <v/>
      </c>
      <c r="BG255" s="392">
        <f>Helpers!BE11</f>
        <v/>
      </c>
      <c r="BH255" s="392">
        <f>Helpers!BF11</f>
        <v/>
      </c>
      <c r="BI255" s="392">
        <f>Helpers!BG11</f>
        <v/>
      </c>
      <c r="BJ255" s="392">
        <f>Helpers!BH11</f>
        <v/>
      </c>
      <c r="BK255" s="392">
        <f>Helpers!BI11</f>
        <v/>
      </c>
      <c r="BL255" s="392">
        <f>Helpers!BJ11</f>
        <v/>
      </c>
      <c r="BM255" s="392">
        <f>Helpers!BK11</f>
        <v/>
      </c>
      <c r="BN255" s="392">
        <f>Helpers!BL11</f>
        <v/>
      </c>
      <c r="BO255" s="392">
        <f>Helpers!BM11</f>
        <v/>
      </c>
      <c r="BP255" s="392">
        <f>Helpers!BN11</f>
        <v/>
      </c>
      <c r="BQ255" s="392">
        <f>Helpers!BO11</f>
        <v/>
      </c>
      <c r="BR255" s="392">
        <f>Helpers!BP11</f>
        <v/>
      </c>
      <c r="BS255" s="392">
        <f>Helpers!BQ11</f>
        <v/>
      </c>
      <c r="BT255" s="392">
        <f>Helpers!BR11</f>
        <v/>
      </c>
      <c r="BU255" s="392">
        <f>Helpers!BS11</f>
        <v/>
      </c>
      <c r="BV255" s="392">
        <f>Helpers!BT11</f>
        <v/>
      </c>
      <c r="BW255" s="392">
        <f>Helpers!BU11</f>
        <v/>
      </c>
      <c r="BX255" s="392">
        <f>Helpers!BV11</f>
        <v/>
      </c>
      <c r="BY255" s="392">
        <f>Helpers!BW11</f>
        <v/>
      </c>
      <c r="BZ255" s="392">
        <f>Helpers!BX11</f>
        <v/>
      </c>
      <c r="CA255" s="392">
        <f>Helpers!BY11</f>
        <v/>
      </c>
      <c r="CB255" s="392">
        <f>Helpers!BZ11</f>
        <v/>
      </c>
      <c r="CC255" s="392">
        <f>Helpers!CA11</f>
        <v/>
      </c>
      <c r="CD255" s="392">
        <f>Helpers!CB11</f>
        <v/>
      </c>
      <c r="CE255" s="392">
        <f>Helpers!CC11</f>
        <v/>
      </c>
      <c r="CF255" s="392">
        <f>Helpers!CD11</f>
        <v/>
      </c>
      <c r="CG255" s="392">
        <f>Helpers!CE11</f>
        <v/>
      </c>
      <c r="CH255" s="392">
        <f>Helpers!CF11</f>
        <v/>
      </c>
      <c r="CI255" s="392">
        <f>Helpers!CG11</f>
        <v/>
      </c>
      <c r="CJ255" s="392">
        <f>Helpers!CH11</f>
        <v/>
      </c>
      <c r="CK255" s="392">
        <f>Helpers!CI11</f>
        <v/>
      </c>
      <c r="CL255" s="392">
        <f>Helpers!CJ11</f>
        <v/>
      </c>
      <c r="CM255" s="392">
        <f>Helpers!CK11</f>
        <v/>
      </c>
      <c r="CN255" s="392">
        <f>Helpers!CL11</f>
        <v/>
      </c>
      <c r="CO255" s="392">
        <f>Helpers!CM11</f>
        <v/>
      </c>
      <c r="CP255" s="392">
        <f>Helpers!CN11</f>
        <v/>
      </c>
      <c r="CQ255" s="392">
        <f>Helpers!CO11</f>
        <v/>
      </c>
      <c r="CR255" s="392">
        <f>Helpers!CP11</f>
        <v/>
      </c>
      <c r="CS255" s="392">
        <f>Helpers!CQ11</f>
        <v/>
      </c>
      <c r="CT255" s="392">
        <f>Helpers!CR11</f>
        <v/>
      </c>
      <c r="CU255" s="392">
        <f>Helpers!CS11</f>
        <v/>
      </c>
      <c r="CV255" s="392">
        <f>Helpers!CT11</f>
        <v/>
      </c>
      <c r="CW255" s="392">
        <f>Helpers!CU11</f>
        <v/>
      </c>
      <c r="CX255" s="392">
        <f>Helpers!CV11</f>
        <v/>
      </c>
      <c r="CY255" s="392">
        <f>Helpers!CW11</f>
        <v/>
      </c>
      <c r="CZ255" s="392">
        <f>Helpers!CX11</f>
        <v/>
      </c>
      <c r="DA255" s="392">
        <f>Helpers!CY11</f>
        <v/>
      </c>
      <c r="DB255" s="392">
        <f>Helpers!CZ11</f>
        <v/>
      </c>
      <c r="DC255" s="392">
        <f>Helpers!DA11</f>
        <v/>
      </c>
      <c r="DD255" s="392">
        <f>Helpers!DB11</f>
        <v/>
      </c>
      <c r="DE255" s="392">
        <f>Helpers!DC11</f>
        <v/>
      </c>
    </row>
    <row r="256" ht="15" customFormat="1" customHeight="1" s="380">
      <c r="A256" s="397" t="inlineStr">
        <is>
          <t>Denny</t>
        </is>
      </c>
      <c r="B256" s="392" t="n"/>
      <c r="C256" s="392" t="n"/>
      <c r="D256" s="392" t="n"/>
      <c r="E256" s="392">
        <f>Helpers!C12</f>
        <v/>
      </c>
      <c r="F256" s="392">
        <f>Helpers!D12</f>
        <v/>
      </c>
      <c r="G256" s="392">
        <f>Helpers!E12</f>
        <v/>
      </c>
      <c r="H256" s="392">
        <f>Helpers!F12</f>
        <v/>
      </c>
      <c r="I256" s="392">
        <f>Helpers!G12</f>
        <v/>
      </c>
      <c r="J256" s="392">
        <f>Helpers!H12</f>
        <v/>
      </c>
      <c r="K256" s="392">
        <f>Helpers!I12</f>
        <v/>
      </c>
      <c r="L256" s="392">
        <f>Helpers!J12</f>
        <v/>
      </c>
      <c r="M256" s="392">
        <f>Helpers!K12</f>
        <v/>
      </c>
      <c r="N256" s="392">
        <f>Helpers!L12</f>
        <v/>
      </c>
      <c r="O256" s="392">
        <f>Helpers!M12</f>
        <v/>
      </c>
      <c r="P256" s="392">
        <f>Helpers!N12</f>
        <v/>
      </c>
      <c r="Q256" s="392">
        <f>Helpers!O12</f>
        <v/>
      </c>
      <c r="R256" s="392">
        <f>Helpers!P12</f>
        <v/>
      </c>
      <c r="S256" s="392">
        <f>Helpers!Q12</f>
        <v/>
      </c>
      <c r="T256" s="392">
        <f>Helpers!R12</f>
        <v/>
      </c>
      <c r="U256" s="392">
        <f>Helpers!S12</f>
        <v/>
      </c>
      <c r="V256" s="392">
        <f>Helpers!T12</f>
        <v/>
      </c>
      <c r="W256" s="392">
        <f>Helpers!U12</f>
        <v/>
      </c>
      <c r="X256" s="392">
        <f>Helpers!V12</f>
        <v/>
      </c>
      <c r="Y256" s="392">
        <f>Helpers!W12</f>
        <v/>
      </c>
      <c r="Z256" s="392">
        <f>Helpers!X12</f>
        <v/>
      </c>
      <c r="AA256" s="392">
        <f>Helpers!Y12</f>
        <v/>
      </c>
      <c r="AB256" s="392">
        <f>Helpers!Z12</f>
        <v/>
      </c>
      <c r="AC256" s="392">
        <f>Helpers!AA12</f>
        <v/>
      </c>
      <c r="AD256" s="392">
        <f>Helpers!AB12</f>
        <v/>
      </c>
      <c r="AE256" s="392">
        <f>Helpers!AC12</f>
        <v/>
      </c>
      <c r="AF256" s="392">
        <f>Helpers!AD12</f>
        <v/>
      </c>
      <c r="AG256" s="392">
        <f>Helpers!AE12</f>
        <v/>
      </c>
      <c r="AH256" s="392">
        <f>Helpers!AF12</f>
        <v/>
      </c>
      <c r="AI256" s="392">
        <f>Helpers!AG12</f>
        <v/>
      </c>
      <c r="AJ256" s="392">
        <f>Helpers!AH12</f>
        <v/>
      </c>
      <c r="AK256" s="392">
        <f>Helpers!AI12</f>
        <v/>
      </c>
      <c r="AL256" s="392">
        <f>Helpers!AJ12</f>
        <v/>
      </c>
      <c r="AM256" s="392">
        <f>Helpers!AK12</f>
        <v/>
      </c>
      <c r="AN256" s="392">
        <f>Helpers!AL12</f>
        <v/>
      </c>
      <c r="AO256" s="392">
        <f>Helpers!AM12</f>
        <v/>
      </c>
      <c r="AP256" s="392">
        <f>Helpers!AN12</f>
        <v/>
      </c>
      <c r="AQ256" s="392">
        <f>Helpers!AO12</f>
        <v/>
      </c>
      <c r="AR256" s="392">
        <f>Helpers!AP12</f>
        <v/>
      </c>
      <c r="AS256" s="392">
        <f>Helpers!AQ12</f>
        <v/>
      </c>
      <c r="AT256" s="392">
        <f>Helpers!AR12</f>
        <v/>
      </c>
      <c r="AU256" s="392">
        <f>Helpers!AS12</f>
        <v/>
      </c>
      <c r="AV256" s="392">
        <f>Helpers!AT12</f>
        <v/>
      </c>
      <c r="AW256" s="392">
        <f>Helpers!AU12</f>
        <v/>
      </c>
      <c r="AX256" s="392">
        <f>Helpers!AV12</f>
        <v/>
      </c>
      <c r="AY256" s="392">
        <f>Helpers!AW12</f>
        <v/>
      </c>
      <c r="AZ256" s="392">
        <f>Helpers!AX12</f>
        <v/>
      </c>
      <c r="BA256" s="392">
        <f>Helpers!AY12</f>
        <v/>
      </c>
      <c r="BB256" s="392">
        <f>Helpers!AZ12</f>
        <v/>
      </c>
      <c r="BC256" s="392">
        <f>Helpers!BA12</f>
        <v/>
      </c>
      <c r="BD256" s="392">
        <f>Helpers!BB12</f>
        <v/>
      </c>
      <c r="BE256" s="392">
        <f>Helpers!BC12</f>
        <v/>
      </c>
      <c r="BF256" s="392">
        <f>Helpers!BD12</f>
        <v/>
      </c>
      <c r="BG256" s="392">
        <f>Helpers!BE12</f>
        <v/>
      </c>
      <c r="BH256" s="392">
        <f>Helpers!BF12</f>
        <v/>
      </c>
      <c r="BI256" s="392">
        <f>Helpers!BG12</f>
        <v/>
      </c>
      <c r="BJ256" s="392">
        <f>Helpers!BH12</f>
        <v/>
      </c>
      <c r="BK256" s="392">
        <f>Helpers!BI12</f>
        <v/>
      </c>
      <c r="BL256" s="392">
        <f>Helpers!BJ12</f>
        <v/>
      </c>
      <c r="BM256" s="392">
        <f>Helpers!BK12</f>
        <v/>
      </c>
      <c r="BN256" s="392">
        <f>Helpers!BL12</f>
        <v/>
      </c>
      <c r="BO256" s="392">
        <f>Helpers!BM12</f>
        <v/>
      </c>
      <c r="BP256" s="392">
        <f>Helpers!BN12</f>
        <v/>
      </c>
      <c r="BQ256" s="392">
        <f>Helpers!BO12</f>
        <v/>
      </c>
      <c r="BR256" s="392">
        <f>Helpers!BP12</f>
        <v/>
      </c>
      <c r="BS256" s="392">
        <f>Helpers!BQ12</f>
        <v/>
      </c>
      <c r="BT256" s="392">
        <f>Helpers!BR12</f>
        <v/>
      </c>
      <c r="BU256" s="392">
        <f>Helpers!BS12</f>
        <v/>
      </c>
      <c r="BV256" s="392">
        <f>Helpers!BT12</f>
        <v/>
      </c>
      <c r="BW256" s="392">
        <f>Helpers!BU12</f>
        <v/>
      </c>
      <c r="BX256" s="392">
        <f>Helpers!BV12</f>
        <v/>
      </c>
      <c r="BY256" s="392">
        <f>Helpers!BW12</f>
        <v/>
      </c>
      <c r="BZ256" s="392">
        <f>Helpers!BX12</f>
        <v/>
      </c>
      <c r="CA256" s="392">
        <f>Helpers!BY12</f>
        <v/>
      </c>
      <c r="CB256" s="392">
        <f>Helpers!BZ12</f>
        <v/>
      </c>
      <c r="CC256" s="392">
        <f>Helpers!CA12</f>
        <v/>
      </c>
      <c r="CD256" s="392">
        <f>Helpers!CB12</f>
        <v/>
      </c>
      <c r="CE256" s="392">
        <f>Helpers!CC12</f>
        <v/>
      </c>
      <c r="CF256" s="392">
        <f>Helpers!CD12</f>
        <v/>
      </c>
      <c r="CG256" s="392">
        <f>Helpers!CE12</f>
        <v/>
      </c>
      <c r="CH256" s="392">
        <f>Helpers!CF12</f>
        <v/>
      </c>
      <c r="CI256" s="392">
        <f>Helpers!CG12</f>
        <v/>
      </c>
      <c r="CJ256" s="392">
        <f>Helpers!CH12</f>
        <v/>
      </c>
      <c r="CK256" s="392">
        <f>Helpers!CI12</f>
        <v/>
      </c>
      <c r="CL256" s="392">
        <f>Helpers!CJ12</f>
        <v/>
      </c>
      <c r="CM256" s="392">
        <f>Helpers!CK12</f>
        <v/>
      </c>
      <c r="CN256" s="392">
        <f>Helpers!CL12</f>
        <v/>
      </c>
      <c r="CO256" s="392">
        <f>Helpers!CM12</f>
        <v/>
      </c>
      <c r="CP256" s="392">
        <f>Helpers!CN12</f>
        <v/>
      </c>
      <c r="CQ256" s="392">
        <f>Helpers!CO12</f>
        <v/>
      </c>
      <c r="CR256" s="392">
        <f>Helpers!CP12</f>
        <v/>
      </c>
      <c r="CS256" s="392">
        <f>Helpers!CQ12</f>
        <v/>
      </c>
      <c r="CT256" s="392">
        <f>Helpers!CR12</f>
        <v/>
      </c>
      <c r="CU256" s="392">
        <f>Helpers!CS12</f>
        <v/>
      </c>
      <c r="CV256" s="392">
        <f>Helpers!CT12</f>
        <v/>
      </c>
      <c r="CW256" s="392">
        <f>Helpers!CU12</f>
        <v/>
      </c>
      <c r="CX256" s="392">
        <f>Helpers!CV12</f>
        <v/>
      </c>
      <c r="CY256" s="392">
        <f>Helpers!CW12</f>
        <v/>
      </c>
      <c r="CZ256" s="392">
        <f>Helpers!CX12</f>
        <v/>
      </c>
      <c r="DA256" s="392">
        <f>Helpers!CY12</f>
        <v/>
      </c>
      <c r="DB256" s="392">
        <f>Helpers!CZ12</f>
        <v/>
      </c>
      <c r="DC256" s="392">
        <f>Helpers!DA12</f>
        <v/>
      </c>
      <c r="DD256" s="392">
        <f>Helpers!DB12</f>
        <v/>
      </c>
      <c r="DE256" s="392">
        <f>Helpers!DC12</f>
        <v/>
      </c>
    </row>
    <row r="257" ht="15" customFormat="1" customHeight="1" s="380">
      <c r="A257" s="397" t="inlineStr">
        <is>
          <t>Acama</t>
        </is>
      </c>
      <c r="B257" s="392" t="n"/>
      <c r="C257" s="392" t="n"/>
      <c r="D257" s="392" t="n"/>
      <c r="E257" s="392">
        <f>Helpers!C13</f>
        <v/>
      </c>
      <c r="F257" s="392">
        <f>Helpers!D13</f>
        <v/>
      </c>
      <c r="G257" s="392">
        <f>Helpers!E13</f>
        <v/>
      </c>
      <c r="H257" s="392">
        <f>Helpers!F13</f>
        <v/>
      </c>
      <c r="I257" s="392">
        <f>Helpers!G13</f>
        <v/>
      </c>
      <c r="J257" s="392">
        <f>Helpers!H13</f>
        <v/>
      </c>
      <c r="K257" s="392">
        <f>Helpers!I13</f>
        <v/>
      </c>
      <c r="L257" s="392">
        <f>Helpers!J13</f>
        <v/>
      </c>
      <c r="M257" s="392">
        <f>Helpers!K13</f>
        <v/>
      </c>
      <c r="N257" s="392">
        <f>Helpers!L13</f>
        <v/>
      </c>
      <c r="O257" s="392">
        <f>Helpers!M13</f>
        <v/>
      </c>
      <c r="P257" s="392">
        <f>Helpers!N13</f>
        <v/>
      </c>
      <c r="Q257" s="392">
        <f>Helpers!O13</f>
        <v/>
      </c>
      <c r="R257" s="392">
        <f>Helpers!P13</f>
        <v/>
      </c>
      <c r="S257" s="392">
        <f>Helpers!Q13</f>
        <v/>
      </c>
      <c r="T257" s="392">
        <f>Helpers!R13</f>
        <v/>
      </c>
      <c r="U257" s="392">
        <f>Helpers!S13</f>
        <v/>
      </c>
      <c r="V257" s="392">
        <f>Helpers!T13</f>
        <v/>
      </c>
      <c r="W257" s="392">
        <f>Helpers!U13</f>
        <v/>
      </c>
      <c r="X257" s="392">
        <f>Helpers!V13</f>
        <v/>
      </c>
      <c r="Y257" s="392">
        <f>Helpers!W13</f>
        <v/>
      </c>
      <c r="Z257" s="392">
        <f>Helpers!X13</f>
        <v/>
      </c>
      <c r="AA257" s="392">
        <f>Helpers!Y13</f>
        <v/>
      </c>
      <c r="AB257" s="392">
        <f>Helpers!Z13</f>
        <v/>
      </c>
      <c r="AC257" s="392">
        <f>Helpers!AA13</f>
        <v/>
      </c>
      <c r="AD257" s="392">
        <f>Helpers!AB13</f>
        <v/>
      </c>
      <c r="AE257" s="392">
        <f>Helpers!AC13</f>
        <v/>
      </c>
      <c r="AF257" s="392">
        <f>Helpers!AD13</f>
        <v/>
      </c>
      <c r="AG257" s="392">
        <f>Helpers!AE13</f>
        <v/>
      </c>
      <c r="AH257" s="392">
        <f>Helpers!AF13</f>
        <v/>
      </c>
      <c r="AI257" s="392">
        <f>Helpers!AG13</f>
        <v/>
      </c>
      <c r="AJ257" s="392">
        <f>Helpers!AH13</f>
        <v/>
      </c>
      <c r="AK257" s="392">
        <f>Helpers!AI13</f>
        <v/>
      </c>
      <c r="AL257" s="392">
        <f>Helpers!AJ13</f>
        <v/>
      </c>
      <c r="AM257" s="392">
        <f>Helpers!AK13</f>
        <v/>
      </c>
      <c r="AN257" s="392">
        <f>Helpers!AL13</f>
        <v/>
      </c>
      <c r="AO257" s="392">
        <f>Helpers!AM13</f>
        <v/>
      </c>
      <c r="AP257" s="392">
        <f>Helpers!AN13</f>
        <v/>
      </c>
      <c r="AQ257" s="392">
        <f>Helpers!AO13</f>
        <v/>
      </c>
      <c r="AR257" s="392">
        <f>Helpers!AP13</f>
        <v/>
      </c>
      <c r="AS257" s="392">
        <f>Helpers!AQ13</f>
        <v/>
      </c>
      <c r="AT257" s="392">
        <f>Helpers!AR13</f>
        <v/>
      </c>
      <c r="AU257" s="392">
        <f>Helpers!AS13</f>
        <v/>
      </c>
      <c r="AV257" s="392">
        <f>Helpers!AT13</f>
        <v/>
      </c>
      <c r="AW257" s="392">
        <f>Helpers!AU13</f>
        <v/>
      </c>
      <c r="AX257" s="392">
        <f>Helpers!AV13</f>
        <v/>
      </c>
      <c r="AY257" s="392">
        <f>Helpers!AW13</f>
        <v/>
      </c>
      <c r="AZ257" s="392">
        <f>Helpers!AX13</f>
        <v/>
      </c>
      <c r="BA257" s="392">
        <f>Helpers!AY13</f>
        <v/>
      </c>
      <c r="BB257" s="392">
        <f>Helpers!AZ13</f>
        <v/>
      </c>
      <c r="BC257" s="392">
        <f>Helpers!BA13</f>
        <v/>
      </c>
      <c r="BD257" s="392">
        <f>Helpers!BB13</f>
        <v/>
      </c>
      <c r="BE257" s="392">
        <f>Helpers!BC13</f>
        <v/>
      </c>
      <c r="BF257" s="392">
        <f>Helpers!BD13</f>
        <v/>
      </c>
      <c r="BG257" s="392">
        <f>Helpers!BE13</f>
        <v/>
      </c>
      <c r="BH257" s="392">
        <f>Helpers!BF13</f>
        <v/>
      </c>
      <c r="BI257" s="392">
        <f>Helpers!BG13</f>
        <v/>
      </c>
      <c r="BJ257" s="392">
        <f>Helpers!BH13</f>
        <v/>
      </c>
      <c r="BK257" s="392">
        <f>Helpers!BI13</f>
        <v/>
      </c>
      <c r="BL257" s="392">
        <f>Helpers!BJ13</f>
        <v/>
      </c>
      <c r="BM257" s="392">
        <f>Helpers!BK13</f>
        <v/>
      </c>
      <c r="BN257" s="392">
        <f>Helpers!BL13</f>
        <v/>
      </c>
      <c r="BO257" s="392">
        <f>Helpers!BM13</f>
        <v/>
      </c>
      <c r="BP257" s="392">
        <f>Helpers!BN13</f>
        <v/>
      </c>
      <c r="BQ257" s="392">
        <f>Helpers!BO13</f>
        <v/>
      </c>
      <c r="BR257" s="392">
        <f>Helpers!BP13</f>
        <v/>
      </c>
      <c r="BS257" s="392">
        <f>Helpers!BQ13</f>
        <v/>
      </c>
      <c r="BT257" s="392">
        <f>Helpers!BR13</f>
        <v/>
      </c>
      <c r="BU257" s="392">
        <f>Helpers!BS13</f>
        <v/>
      </c>
      <c r="BV257" s="392">
        <f>Helpers!BT13</f>
        <v/>
      </c>
      <c r="BW257" s="392">
        <f>Helpers!BU13</f>
        <v/>
      </c>
      <c r="BX257" s="392">
        <f>Helpers!BV13</f>
        <v/>
      </c>
      <c r="BY257" s="392">
        <f>Helpers!BW13</f>
        <v/>
      </c>
      <c r="BZ257" s="392">
        <f>Helpers!BX13</f>
        <v/>
      </c>
      <c r="CA257" s="392">
        <f>Helpers!BY13</f>
        <v/>
      </c>
      <c r="CB257" s="392">
        <f>Helpers!BZ13</f>
        <v/>
      </c>
      <c r="CC257" s="392">
        <f>Helpers!CA13</f>
        <v/>
      </c>
      <c r="CD257" s="392">
        <f>Helpers!CB13</f>
        <v/>
      </c>
      <c r="CE257" s="392">
        <f>Helpers!CC13</f>
        <v/>
      </c>
      <c r="CF257" s="392">
        <f>Helpers!CD13</f>
        <v/>
      </c>
      <c r="CG257" s="392">
        <f>Helpers!CE13</f>
        <v/>
      </c>
      <c r="CH257" s="392">
        <f>Helpers!CF13</f>
        <v/>
      </c>
      <c r="CI257" s="392">
        <f>Helpers!CG13</f>
        <v/>
      </c>
      <c r="CJ257" s="392">
        <f>Helpers!CH13</f>
        <v/>
      </c>
      <c r="CK257" s="392">
        <f>Helpers!CI13</f>
        <v/>
      </c>
      <c r="CL257" s="392">
        <f>Helpers!CJ13</f>
        <v/>
      </c>
      <c r="CM257" s="392">
        <f>Helpers!CK13</f>
        <v/>
      </c>
      <c r="CN257" s="392">
        <f>Helpers!CL13</f>
        <v/>
      </c>
      <c r="CO257" s="392">
        <f>Helpers!CM13</f>
        <v/>
      </c>
      <c r="CP257" s="392">
        <f>Helpers!CN13</f>
        <v/>
      </c>
      <c r="CQ257" s="392">
        <f>Helpers!CO13</f>
        <v/>
      </c>
      <c r="CR257" s="392">
        <f>Helpers!CP13</f>
        <v/>
      </c>
      <c r="CS257" s="392">
        <f>Helpers!CQ13</f>
        <v/>
      </c>
      <c r="CT257" s="392">
        <f>Helpers!CR13</f>
        <v/>
      </c>
      <c r="CU257" s="392">
        <f>Helpers!CS13</f>
        <v/>
      </c>
      <c r="CV257" s="392">
        <f>Helpers!CT13</f>
        <v/>
      </c>
      <c r="CW257" s="392">
        <f>Helpers!CU13</f>
        <v/>
      </c>
      <c r="CX257" s="392">
        <f>Helpers!CV13</f>
        <v/>
      </c>
      <c r="CY257" s="392">
        <f>Helpers!CW13</f>
        <v/>
      </c>
      <c r="CZ257" s="392">
        <f>Helpers!CX13</f>
        <v/>
      </c>
      <c r="DA257" s="392">
        <f>Helpers!CY13</f>
        <v/>
      </c>
      <c r="DB257" s="392">
        <f>Helpers!CZ13</f>
        <v/>
      </c>
      <c r="DC257" s="392">
        <f>Helpers!DA13</f>
        <v/>
      </c>
      <c r="DD257" s="392">
        <f>Helpers!DB13</f>
        <v/>
      </c>
      <c r="DE257" s="392">
        <f>Helpers!DC13</f>
        <v/>
      </c>
    </row>
    <row r="258" ht="15" customFormat="1" customHeight="1" s="380">
      <c r="A258" s="397" t="inlineStr">
        <is>
          <t>Reseda</t>
        </is>
      </c>
      <c r="B258" s="392" t="n"/>
      <c r="C258" s="392" t="n"/>
      <c r="D258" s="392" t="n"/>
      <c r="E258" s="392">
        <f>Helpers!C14</f>
        <v/>
      </c>
      <c r="F258" s="392">
        <f>Helpers!D14</f>
        <v/>
      </c>
      <c r="G258" s="392">
        <f>Helpers!E14</f>
        <v/>
      </c>
      <c r="H258" s="392">
        <f>Helpers!F14</f>
        <v/>
      </c>
      <c r="I258" s="392">
        <f>Helpers!G14</f>
        <v/>
      </c>
      <c r="J258" s="392">
        <f>Helpers!H14</f>
        <v/>
      </c>
      <c r="K258" s="392">
        <f>Helpers!I14</f>
        <v/>
      </c>
      <c r="L258" s="392">
        <f>Helpers!J14</f>
        <v/>
      </c>
      <c r="M258" s="392">
        <f>Helpers!K14</f>
        <v/>
      </c>
      <c r="N258" s="392">
        <f>Helpers!L14</f>
        <v/>
      </c>
      <c r="O258" s="392">
        <f>Helpers!M14</f>
        <v/>
      </c>
      <c r="P258" s="392">
        <f>Helpers!N14</f>
        <v/>
      </c>
      <c r="Q258" s="392">
        <f>Helpers!O14</f>
        <v/>
      </c>
      <c r="R258" s="392">
        <f>Helpers!P14</f>
        <v/>
      </c>
      <c r="S258" s="392">
        <f>Helpers!Q14</f>
        <v/>
      </c>
      <c r="T258" s="392">
        <f>Helpers!R14</f>
        <v/>
      </c>
      <c r="U258" s="392">
        <f>Helpers!S14</f>
        <v/>
      </c>
      <c r="V258" s="392">
        <f>Helpers!T14</f>
        <v/>
      </c>
      <c r="W258" s="392">
        <f>Helpers!U14</f>
        <v/>
      </c>
      <c r="X258" s="392">
        <f>Helpers!V14</f>
        <v/>
      </c>
      <c r="Y258" s="392">
        <f>Helpers!W14</f>
        <v/>
      </c>
      <c r="Z258" s="392">
        <f>Helpers!X14</f>
        <v/>
      </c>
      <c r="AA258" s="392">
        <f>Helpers!Y14</f>
        <v/>
      </c>
      <c r="AB258" s="392">
        <f>Helpers!Z14</f>
        <v/>
      </c>
      <c r="AC258" s="392">
        <f>Helpers!AA14</f>
        <v/>
      </c>
      <c r="AD258" s="392">
        <f>Helpers!AB14</f>
        <v/>
      </c>
      <c r="AE258" s="392">
        <f>Helpers!AC14</f>
        <v/>
      </c>
      <c r="AF258" s="392">
        <f>Helpers!AD14</f>
        <v/>
      </c>
      <c r="AG258" s="392">
        <f>Helpers!AE14</f>
        <v/>
      </c>
      <c r="AH258" s="392">
        <f>Helpers!AF14</f>
        <v/>
      </c>
      <c r="AI258" s="392">
        <f>Helpers!AG14</f>
        <v/>
      </c>
      <c r="AJ258" s="392">
        <f>Helpers!AH14</f>
        <v/>
      </c>
      <c r="AK258" s="392">
        <f>Helpers!AI14</f>
        <v/>
      </c>
      <c r="AL258" s="392">
        <f>Helpers!AJ14</f>
        <v/>
      </c>
      <c r="AM258" s="392">
        <f>Helpers!AK14</f>
        <v/>
      </c>
      <c r="AN258" s="392">
        <f>Helpers!AL14</f>
        <v/>
      </c>
      <c r="AO258" s="392">
        <f>Helpers!AM14</f>
        <v/>
      </c>
      <c r="AP258" s="392">
        <f>Helpers!AN14</f>
        <v/>
      </c>
      <c r="AQ258" s="392">
        <f>Helpers!AO14</f>
        <v/>
      </c>
      <c r="AR258" s="392">
        <f>Helpers!AP14</f>
        <v/>
      </c>
      <c r="AS258" s="392">
        <f>Helpers!AQ14</f>
        <v/>
      </c>
      <c r="AT258" s="392">
        <f>Helpers!AR14</f>
        <v/>
      </c>
      <c r="AU258" s="392">
        <f>Helpers!AS14</f>
        <v/>
      </c>
      <c r="AV258" s="392">
        <f>Helpers!AT14</f>
        <v/>
      </c>
      <c r="AW258" s="392">
        <f>Helpers!AU14</f>
        <v/>
      </c>
      <c r="AX258" s="392">
        <f>Helpers!AV14</f>
        <v/>
      </c>
      <c r="AY258" s="392">
        <f>Helpers!AW14</f>
        <v/>
      </c>
      <c r="AZ258" s="392">
        <f>Helpers!AX14</f>
        <v/>
      </c>
      <c r="BA258" s="392">
        <f>Helpers!AY14</f>
        <v/>
      </c>
      <c r="BB258" s="392">
        <f>Helpers!AZ14</f>
        <v/>
      </c>
      <c r="BC258" s="392">
        <f>Helpers!BA14</f>
        <v/>
      </c>
      <c r="BD258" s="392">
        <f>Helpers!BB14</f>
        <v/>
      </c>
      <c r="BE258" s="392">
        <f>Helpers!BC14</f>
        <v/>
      </c>
      <c r="BF258" s="392">
        <f>Helpers!BD14</f>
        <v/>
      </c>
      <c r="BG258" s="392">
        <f>Helpers!BE14</f>
        <v/>
      </c>
      <c r="BH258" s="392">
        <f>Helpers!BF14</f>
        <v/>
      </c>
      <c r="BI258" s="392">
        <f>Helpers!BG14</f>
        <v/>
      </c>
      <c r="BJ258" s="392">
        <f>Helpers!BH14</f>
        <v/>
      </c>
      <c r="BK258" s="392">
        <f>Helpers!BI14</f>
        <v/>
      </c>
      <c r="BL258" s="392">
        <f>Helpers!BJ14</f>
        <v/>
      </c>
      <c r="BM258" s="392">
        <f>Helpers!BK14</f>
        <v/>
      </c>
      <c r="BN258" s="392">
        <f>Helpers!BL14</f>
        <v/>
      </c>
      <c r="BO258" s="392">
        <f>Helpers!BM14</f>
        <v/>
      </c>
      <c r="BP258" s="392">
        <f>Helpers!BN14</f>
        <v/>
      </c>
      <c r="BQ258" s="392">
        <f>Helpers!BO14</f>
        <v/>
      </c>
      <c r="BR258" s="392">
        <f>Helpers!BP14</f>
        <v/>
      </c>
      <c r="BS258" s="392">
        <f>Helpers!BQ14</f>
        <v/>
      </c>
      <c r="BT258" s="392">
        <f>Helpers!BR14</f>
        <v/>
      </c>
      <c r="BU258" s="392">
        <f>Helpers!BS14</f>
        <v/>
      </c>
      <c r="BV258" s="392">
        <f>Helpers!BT14</f>
        <v/>
      </c>
      <c r="BW258" s="392">
        <f>Helpers!BU14</f>
        <v/>
      </c>
      <c r="BX258" s="392">
        <f>Helpers!BV14</f>
        <v/>
      </c>
      <c r="BY258" s="392">
        <f>Helpers!BW14</f>
        <v/>
      </c>
      <c r="BZ258" s="392">
        <f>Helpers!BX14</f>
        <v/>
      </c>
      <c r="CA258" s="392">
        <f>Helpers!BY14</f>
        <v/>
      </c>
      <c r="CB258" s="392">
        <f>Helpers!BZ14</f>
        <v/>
      </c>
      <c r="CC258" s="392">
        <f>Helpers!CA14</f>
        <v/>
      </c>
      <c r="CD258" s="392">
        <f>Helpers!CB14</f>
        <v/>
      </c>
      <c r="CE258" s="392">
        <f>Helpers!CC14</f>
        <v/>
      </c>
      <c r="CF258" s="392">
        <f>Helpers!CD14</f>
        <v/>
      </c>
      <c r="CG258" s="392">
        <f>Helpers!CE14</f>
        <v/>
      </c>
      <c r="CH258" s="392">
        <f>Helpers!CF14</f>
        <v/>
      </c>
      <c r="CI258" s="392">
        <f>Helpers!CG14</f>
        <v/>
      </c>
      <c r="CJ258" s="392">
        <f>Helpers!CH14</f>
        <v/>
      </c>
      <c r="CK258" s="392">
        <f>Helpers!CI14</f>
        <v/>
      </c>
      <c r="CL258" s="392">
        <f>Helpers!CJ14</f>
        <v/>
      </c>
      <c r="CM258" s="392">
        <f>Helpers!CK14</f>
        <v/>
      </c>
      <c r="CN258" s="392">
        <f>Helpers!CL14</f>
        <v/>
      </c>
      <c r="CO258" s="392">
        <f>Helpers!CM14</f>
        <v/>
      </c>
      <c r="CP258" s="392">
        <f>Helpers!CN14</f>
        <v/>
      </c>
      <c r="CQ258" s="392">
        <f>Helpers!CO14</f>
        <v/>
      </c>
      <c r="CR258" s="392">
        <f>Helpers!CP14</f>
        <v/>
      </c>
      <c r="CS258" s="392">
        <f>Helpers!CQ14</f>
        <v/>
      </c>
      <c r="CT258" s="392">
        <f>Helpers!CR14</f>
        <v/>
      </c>
      <c r="CU258" s="392">
        <f>Helpers!CS14</f>
        <v/>
      </c>
      <c r="CV258" s="392">
        <f>Helpers!CT14</f>
        <v/>
      </c>
      <c r="CW258" s="392">
        <f>Helpers!CU14</f>
        <v/>
      </c>
      <c r="CX258" s="392">
        <f>Helpers!CV14</f>
        <v/>
      </c>
      <c r="CY258" s="392">
        <f>Helpers!CW14</f>
        <v/>
      </c>
      <c r="CZ258" s="392">
        <f>Helpers!CX14</f>
        <v/>
      </c>
      <c r="DA258" s="392">
        <f>Helpers!CY14</f>
        <v/>
      </c>
      <c r="DB258" s="392">
        <f>Helpers!CZ14</f>
        <v/>
      </c>
      <c r="DC258" s="392">
        <f>Helpers!DA14</f>
        <v/>
      </c>
      <c r="DD258" s="392">
        <f>Helpers!DB14</f>
        <v/>
      </c>
      <c r="DE258" s="392">
        <f>Helpers!DC14</f>
        <v/>
      </c>
    </row>
    <row r="259" ht="15" customFormat="1" customHeight="1" s="380">
      <c r="A259" s="397" t="inlineStr">
        <is>
          <t>3rd St</t>
        </is>
      </c>
      <c r="B259" s="392" t="n"/>
      <c r="C259" s="392" t="n"/>
      <c r="D259" s="392" t="n"/>
      <c r="E259" s="392">
        <f>Helpers!C15</f>
        <v/>
      </c>
      <c r="F259" s="392">
        <f>Helpers!D15</f>
        <v/>
      </c>
      <c r="G259" s="392">
        <f>Helpers!E15</f>
        <v/>
      </c>
      <c r="H259" s="392">
        <f>Helpers!F15</f>
        <v/>
      </c>
      <c r="I259" s="392">
        <f>Helpers!G15</f>
        <v/>
      </c>
      <c r="J259" s="392">
        <f>Helpers!H15</f>
        <v/>
      </c>
      <c r="K259" s="392">
        <f>Helpers!I15</f>
        <v/>
      </c>
      <c r="L259" s="392">
        <f>Helpers!J15</f>
        <v/>
      </c>
      <c r="M259" s="392">
        <f>Helpers!K15</f>
        <v/>
      </c>
      <c r="N259" s="392">
        <f>Helpers!L15</f>
        <v/>
      </c>
      <c r="O259" s="392">
        <f>Helpers!M15</f>
        <v/>
      </c>
      <c r="P259" s="392">
        <f>Helpers!N15</f>
        <v/>
      </c>
      <c r="Q259" s="392">
        <f>Helpers!O15</f>
        <v/>
      </c>
      <c r="R259" s="392">
        <f>Helpers!P15</f>
        <v/>
      </c>
      <c r="S259" s="392">
        <f>Helpers!Q15</f>
        <v/>
      </c>
      <c r="T259" s="392">
        <f>Helpers!R15</f>
        <v/>
      </c>
      <c r="U259" s="392">
        <f>Helpers!S15</f>
        <v/>
      </c>
      <c r="V259" s="392">
        <f>Helpers!T15</f>
        <v/>
      </c>
      <c r="W259" s="392">
        <f>Helpers!U15</f>
        <v/>
      </c>
      <c r="X259" s="392">
        <f>Helpers!V15</f>
        <v/>
      </c>
      <c r="Y259" s="392">
        <f>Helpers!W15</f>
        <v/>
      </c>
      <c r="Z259" s="392">
        <f>Helpers!X15</f>
        <v/>
      </c>
      <c r="AA259" s="392">
        <f>Helpers!Y15</f>
        <v/>
      </c>
      <c r="AB259" s="392">
        <f>Helpers!Z15</f>
        <v/>
      </c>
      <c r="AC259" s="392">
        <f>Helpers!AA15</f>
        <v/>
      </c>
      <c r="AD259" s="392">
        <f>Helpers!AB15</f>
        <v/>
      </c>
      <c r="AE259" s="392">
        <f>Helpers!AC15</f>
        <v/>
      </c>
      <c r="AF259" s="392">
        <f>Helpers!AD15</f>
        <v/>
      </c>
      <c r="AG259" s="392">
        <f>Helpers!AE15</f>
        <v/>
      </c>
      <c r="AH259" s="392">
        <f>Helpers!AF15</f>
        <v/>
      </c>
      <c r="AI259" s="392">
        <f>Helpers!AG15</f>
        <v/>
      </c>
      <c r="AJ259" s="392">
        <f>Helpers!AH15</f>
        <v/>
      </c>
      <c r="AK259" s="392">
        <f>Helpers!AI15</f>
        <v/>
      </c>
      <c r="AL259" s="392">
        <f>Helpers!AJ15</f>
        <v/>
      </c>
      <c r="AM259" s="392">
        <f>Helpers!AK15</f>
        <v/>
      </c>
      <c r="AN259" s="392">
        <f>Helpers!AL15</f>
        <v/>
      </c>
      <c r="AO259" s="392">
        <f>Helpers!AM15</f>
        <v/>
      </c>
      <c r="AP259" s="392">
        <f>Helpers!AN15</f>
        <v/>
      </c>
      <c r="AQ259" s="392">
        <f>Helpers!AO15</f>
        <v/>
      </c>
      <c r="AR259" s="392">
        <f>Helpers!AP15</f>
        <v/>
      </c>
      <c r="AS259" s="392">
        <f>Helpers!AQ15</f>
        <v/>
      </c>
      <c r="AT259" s="392">
        <f>Helpers!AR15</f>
        <v/>
      </c>
      <c r="AU259" s="392">
        <f>Helpers!AS15</f>
        <v/>
      </c>
      <c r="AV259" s="392">
        <f>Helpers!AT15</f>
        <v/>
      </c>
      <c r="AW259" s="392">
        <f>Helpers!AU15</f>
        <v/>
      </c>
      <c r="AX259" s="392">
        <f>Helpers!AV15</f>
        <v/>
      </c>
      <c r="AY259" s="392">
        <f>Helpers!AW15</f>
        <v/>
      </c>
      <c r="AZ259" s="392">
        <f>Helpers!AX15</f>
        <v/>
      </c>
      <c r="BA259" s="392">
        <f>Helpers!AY15</f>
        <v/>
      </c>
      <c r="BB259" s="392">
        <f>Helpers!AZ15</f>
        <v/>
      </c>
      <c r="BC259" s="392">
        <f>Helpers!BA15</f>
        <v/>
      </c>
      <c r="BD259" s="392">
        <f>Helpers!BB15</f>
        <v/>
      </c>
      <c r="BE259" s="392">
        <f>Helpers!BC15</f>
        <v/>
      </c>
      <c r="BF259" s="392">
        <f>Helpers!BD15</f>
        <v/>
      </c>
      <c r="BG259" s="392">
        <f>Helpers!BE15</f>
        <v/>
      </c>
      <c r="BH259" s="392">
        <f>Helpers!BF15</f>
        <v/>
      </c>
      <c r="BI259" s="392">
        <f>Helpers!BG15</f>
        <v/>
      </c>
      <c r="BJ259" s="392">
        <f>Helpers!BH15</f>
        <v/>
      </c>
      <c r="BK259" s="392">
        <f>Helpers!BI15</f>
        <v/>
      </c>
      <c r="BL259" s="392">
        <f>Helpers!BJ15</f>
        <v/>
      </c>
      <c r="BM259" s="392">
        <f>Helpers!BK15</f>
        <v/>
      </c>
      <c r="BN259" s="392">
        <f>Helpers!BL15</f>
        <v/>
      </c>
      <c r="BO259" s="392">
        <f>Helpers!BM15</f>
        <v/>
      </c>
      <c r="BP259" s="392">
        <f>Helpers!BN15</f>
        <v/>
      </c>
      <c r="BQ259" s="392">
        <f>Helpers!BO15</f>
        <v/>
      </c>
      <c r="BR259" s="392">
        <f>Helpers!BP15</f>
        <v/>
      </c>
      <c r="BS259" s="392">
        <f>Helpers!BQ15</f>
        <v/>
      </c>
      <c r="BT259" s="392">
        <f>Helpers!BR15</f>
        <v/>
      </c>
      <c r="BU259" s="392">
        <f>Helpers!BS15</f>
        <v/>
      </c>
      <c r="BV259" s="392">
        <f>Helpers!BT15</f>
        <v/>
      </c>
      <c r="BW259" s="392">
        <f>Helpers!BU15</f>
        <v/>
      </c>
      <c r="BX259" s="392">
        <f>Helpers!BV15</f>
        <v/>
      </c>
      <c r="BY259" s="392">
        <f>Helpers!BW15</f>
        <v/>
      </c>
      <c r="BZ259" s="392">
        <f>Helpers!BX15</f>
        <v/>
      </c>
      <c r="CA259" s="392">
        <f>Helpers!BY15</f>
        <v/>
      </c>
      <c r="CB259" s="392">
        <f>Helpers!BZ15</f>
        <v/>
      </c>
      <c r="CC259" s="392">
        <f>Helpers!CA15</f>
        <v/>
      </c>
      <c r="CD259" s="392">
        <f>Helpers!CB15</f>
        <v/>
      </c>
      <c r="CE259" s="392">
        <f>Helpers!CC15</f>
        <v/>
      </c>
      <c r="CF259" s="392">
        <f>Helpers!CD15</f>
        <v/>
      </c>
      <c r="CG259" s="392">
        <f>Helpers!CE15</f>
        <v/>
      </c>
      <c r="CH259" s="392">
        <f>Helpers!CF15</f>
        <v/>
      </c>
      <c r="CI259" s="392">
        <f>Helpers!CG15</f>
        <v/>
      </c>
      <c r="CJ259" s="392">
        <f>Helpers!CH15</f>
        <v/>
      </c>
      <c r="CK259" s="392">
        <f>Helpers!CI15</f>
        <v/>
      </c>
      <c r="CL259" s="392">
        <f>Helpers!CJ15</f>
        <v/>
      </c>
      <c r="CM259" s="392">
        <f>Helpers!CK15</f>
        <v/>
      </c>
      <c r="CN259" s="392">
        <f>Helpers!CL15</f>
        <v/>
      </c>
      <c r="CO259" s="392">
        <f>Helpers!CM15</f>
        <v/>
      </c>
      <c r="CP259" s="392">
        <f>Helpers!CN15</f>
        <v/>
      </c>
      <c r="CQ259" s="392">
        <f>Helpers!CO15</f>
        <v/>
      </c>
      <c r="CR259" s="392">
        <f>Helpers!CP15</f>
        <v/>
      </c>
      <c r="CS259" s="392">
        <f>Helpers!CQ15</f>
        <v/>
      </c>
      <c r="CT259" s="392">
        <f>Helpers!CR15</f>
        <v/>
      </c>
      <c r="CU259" s="392">
        <f>Helpers!CS15</f>
        <v/>
      </c>
      <c r="CV259" s="392">
        <f>Helpers!CT15</f>
        <v/>
      </c>
      <c r="CW259" s="392">
        <f>Helpers!CU15</f>
        <v/>
      </c>
      <c r="CX259" s="392">
        <f>Helpers!CV15</f>
        <v/>
      </c>
      <c r="CY259" s="392">
        <f>Helpers!CW15</f>
        <v/>
      </c>
      <c r="CZ259" s="392">
        <f>Helpers!CX15</f>
        <v/>
      </c>
      <c r="DA259" s="392">
        <f>Helpers!CY15</f>
        <v/>
      </c>
      <c r="DB259" s="392">
        <f>Helpers!CZ15</f>
        <v/>
      </c>
      <c r="DC259" s="392">
        <f>Helpers!DA15</f>
        <v/>
      </c>
      <c r="DD259" s="392">
        <f>Helpers!DB15</f>
        <v/>
      </c>
      <c r="DE259" s="392">
        <f>Helpers!DC15</f>
        <v/>
      </c>
    </row>
    <row r="260" ht="15" customFormat="1" customHeight="1" s="380">
      <c r="A260" s="408" t="inlineStr">
        <is>
          <t>Total Bonding Outstanding</t>
        </is>
      </c>
      <c r="B260" s="409" t="n"/>
      <c r="C260" s="409" t="n"/>
      <c r="D260" s="409" t="n"/>
      <c r="E260" s="409">
        <f>SUM(E252:E259)+E261</f>
        <v/>
      </c>
      <c r="F260" s="409">
        <f>SUM(F252:F259)+F261</f>
        <v/>
      </c>
      <c r="G260" s="409">
        <f>SUM(G252:G259)+G261</f>
        <v/>
      </c>
      <c r="H260" s="409">
        <f>SUM(H252:H259)+H261</f>
        <v/>
      </c>
      <c r="I260" s="409">
        <f>SUM(I252:I259)+I261</f>
        <v/>
      </c>
      <c r="J260" s="409">
        <f>SUM(J252:J259)+J261</f>
        <v/>
      </c>
      <c r="K260" s="409">
        <f>SUM(K252:K259)+K261</f>
        <v/>
      </c>
      <c r="L260" s="409">
        <f>SUM(L252:L259)+L261</f>
        <v/>
      </c>
      <c r="M260" s="409">
        <f>SUM(M252:M259)+M261</f>
        <v/>
      </c>
      <c r="N260" s="409">
        <f>SUM(N252:N259)+N261</f>
        <v/>
      </c>
      <c r="O260" s="409">
        <f>SUM(O252:O259)+O261</f>
        <v/>
      </c>
      <c r="P260" s="409">
        <f>SUM(P252:P259)+P261</f>
        <v/>
      </c>
      <c r="Q260" s="409">
        <f>SUM(Q252:Q259)+Q261</f>
        <v/>
      </c>
      <c r="R260" s="409">
        <f>SUM(R252:R259)+R261</f>
        <v/>
      </c>
      <c r="S260" s="409">
        <f>SUM(S252:S259)+S261</f>
        <v/>
      </c>
      <c r="T260" s="409">
        <f>SUM(T252:T259)+T261</f>
        <v/>
      </c>
      <c r="U260" s="409">
        <f>SUM(U252:U259)+U261</f>
        <v/>
      </c>
      <c r="V260" s="409">
        <f>SUM(V252:V259)+V261</f>
        <v/>
      </c>
      <c r="W260" s="409">
        <f>SUM(W252:W259)+W261</f>
        <v/>
      </c>
      <c r="X260" s="409">
        <f>SUM(X252:X259)+X261</f>
        <v/>
      </c>
      <c r="Y260" s="409">
        <f>SUM(Y252:Y259)+Y261</f>
        <v/>
      </c>
      <c r="Z260" s="409">
        <f>SUM(Z252:Z259)+Z261</f>
        <v/>
      </c>
      <c r="AA260" s="409">
        <f>SUM(AA252:AA259)+AA261</f>
        <v/>
      </c>
      <c r="AB260" s="409">
        <f>SUM(AB252:AB259)+AB261</f>
        <v/>
      </c>
      <c r="AC260" s="409">
        <f>SUM(AC252:AC259)+AC261</f>
        <v/>
      </c>
      <c r="AD260" s="409">
        <f>SUM(AD252:AD259)+AD261</f>
        <v/>
      </c>
      <c r="AE260" s="409">
        <f>SUM(AE252:AE259)+AE261</f>
        <v/>
      </c>
      <c r="AF260" s="409">
        <f>SUM(AF252:AF259)+AF261</f>
        <v/>
      </c>
      <c r="AG260" s="409">
        <f>SUM(AG252:AG259)+AG261</f>
        <v/>
      </c>
      <c r="AH260" s="409">
        <f>SUM(AH252:AH259)+AH261</f>
        <v/>
      </c>
      <c r="AI260" s="409">
        <f>SUM(AI252:AI259)+AI261</f>
        <v/>
      </c>
      <c r="AJ260" s="409">
        <f>SUM(AJ252:AJ259)+AJ261</f>
        <v/>
      </c>
      <c r="AK260" s="409">
        <f>SUM(AK252:AK259)+AK261</f>
        <v/>
      </c>
      <c r="AL260" s="409">
        <f>SUM(AL252:AL259)+AL261</f>
        <v/>
      </c>
      <c r="AM260" s="409">
        <f>SUM(AM252:AM259)+AM261</f>
        <v/>
      </c>
      <c r="AN260" s="409">
        <f>SUM(AN252:AN259)+AN261</f>
        <v/>
      </c>
      <c r="AO260" s="409">
        <f>SUM(AO252:AO259)+AO261</f>
        <v/>
      </c>
      <c r="AP260" s="409">
        <f>SUM(AP252:AP259)+AP261</f>
        <v/>
      </c>
      <c r="AQ260" s="409">
        <f>SUM(AQ252:AQ259)+AQ261</f>
        <v/>
      </c>
      <c r="AR260" s="409">
        <f>SUM(AR252:AR259)+AR261</f>
        <v/>
      </c>
      <c r="AS260" s="409">
        <f>SUM(AS252:AS259)+AS261</f>
        <v/>
      </c>
      <c r="AT260" s="409">
        <f>SUM(AT252:AT259)+AT261</f>
        <v/>
      </c>
      <c r="AU260" s="409">
        <f>SUM(AU252:AU259)+AU261</f>
        <v/>
      </c>
      <c r="AV260" s="409">
        <f>SUM(AV252:AV259)+AV261</f>
        <v/>
      </c>
      <c r="AW260" s="409">
        <f>SUM(AW252:AW259)+AW261</f>
        <v/>
      </c>
      <c r="AX260" s="409">
        <f>SUM(AX252:AX259)+AX261</f>
        <v/>
      </c>
      <c r="AY260" s="409">
        <f>SUM(AY252:AY259)+AY261</f>
        <v/>
      </c>
      <c r="AZ260" s="409">
        <f>SUM(AZ252:AZ259)+AZ261</f>
        <v/>
      </c>
      <c r="BA260" s="409">
        <f>SUM(BA252:BA259)+BA261</f>
        <v/>
      </c>
      <c r="BB260" s="409">
        <f>SUM(BB252:BB259)+BB261</f>
        <v/>
      </c>
      <c r="BC260" s="409">
        <f>SUM(BC252:BC259)+BC261</f>
        <v/>
      </c>
      <c r="BD260" s="409">
        <f>SUM(BD252:BD259)+BD261</f>
        <v/>
      </c>
      <c r="BE260" s="409">
        <f>SUM(BE252:BE259)+BE261</f>
        <v/>
      </c>
      <c r="BF260" s="409">
        <f>SUM(BF252:BF259)+BF261</f>
        <v/>
      </c>
      <c r="BG260" s="409">
        <f>SUM(BG252:BG259)+BG261</f>
        <v/>
      </c>
      <c r="BH260" s="409">
        <f>SUM(BH252:BH259)+BH261</f>
        <v/>
      </c>
      <c r="BI260" s="409">
        <f>SUM(BI252:BI259)+BI261</f>
        <v/>
      </c>
      <c r="BJ260" s="409">
        <f>SUM(BJ252:BJ259)+BJ261</f>
        <v/>
      </c>
      <c r="BK260" s="409">
        <f>SUM(BK252:BK259)+BK261</f>
        <v/>
      </c>
      <c r="BL260" s="409">
        <f>SUM(BL252:BL259)+BL261</f>
        <v/>
      </c>
      <c r="BM260" s="409">
        <f>SUM(BM252:BM259)+BM261</f>
        <v/>
      </c>
      <c r="BN260" s="409">
        <f>SUM(BN252:BN259)+BN261</f>
        <v/>
      </c>
      <c r="BO260" s="409">
        <f>SUM(BO252:BO259)+BO261</f>
        <v/>
      </c>
      <c r="BP260" s="409">
        <f>SUM(BP252:BP259)+BP261</f>
        <v/>
      </c>
      <c r="BQ260" s="409">
        <f>SUM(BQ252:BQ259)+BQ261</f>
        <v/>
      </c>
      <c r="BR260" s="409">
        <f>SUM(BR252:BR259)+BR261</f>
        <v/>
      </c>
      <c r="BS260" s="409">
        <f>SUM(BS252:BS259)+BS261</f>
        <v/>
      </c>
      <c r="BT260" s="409">
        <f>SUM(BT252:BT259)+BT261</f>
        <v/>
      </c>
      <c r="BU260" s="409">
        <f>SUM(BU252:BU259)+BU261</f>
        <v/>
      </c>
      <c r="BV260" s="409">
        <f>SUM(BV252:BV259)+BV261</f>
        <v/>
      </c>
      <c r="BW260" s="409">
        <f>SUM(BW252:BW259)+BW261</f>
        <v/>
      </c>
      <c r="BX260" s="409">
        <f>SUM(BX252:BX259)+BX261</f>
        <v/>
      </c>
      <c r="BY260" s="409">
        <f>SUM(BY252:BY259)+BY261</f>
        <v/>
      </c>
      <c r="BZ260" s="409">
        <f>SUM(BZ252:BZ259)+BZ261</f>
        <v/>
      </c>
      <c r="CA260" s="409">
        <f>SUM(CA252:CA259)+CA261</f>
        <v/>
      </c>
      <c r="CB260" s="409">
        <f>SUM(CB252:CB259)+CB261</f>
        <v/>
      </c>
      <c r="CC260" s="409">
        <f>SUM(CC252:CC259)+CC261</f>
        <v/>
      </c>
      <c r="CD260" s="409">
        <f>SUM(CD252:CD259)+CD261</f>
        <v/>
      </c>
      <c r="CE260" s="409">
        <f>SUM(CE252:CE259)+CE261</f>
        <v/>
      </c>
      <c r="CF260" s="409">
        <f>SUM(CF252:CF259)+CF261</f>
        <v/>
      </c>
      <c r="CG260" s="409">
        <f>SUM(CG252:CG259)+CG261</f>
        <v/>
      </c>
      <c r="CH260" s="409">
        <f>SUM(CH252:CH259)+CH261</f>
        <v/>
      </c>
      <c r="CI260" s="409">
        <f>SUM(CI252:CI259)+CI261</f>
        <v/>
      </c>
      <c r="CJ260" s="409">
        <f>SUM(CJ252:CJ259)+CJ261</f>
        <v/>
      </c>
      <c r="CK260" s="409">
        <f>SUM(CK252:CK259)+CK261</f>
        <v/>
      </c>
      <c r="CL260" s="409">
        <f>SUM(CL252:CL259)+CL261</f>
        <v/>
      </c>
      <c r="CM260" s="409">
        <f>SUM(CM252:CM259)+CM261</f>
        <v/>
      </c>
      <c r="CN260" s="409">
        <f>SUM(CN252:CN259)+CN261</f>
        <v/>
      </c>
      <c r="CO260" s="409">
        <f>SUM(CO252:CO259)+CO261</f>
        <v/>
      </c>
      <c r="CP260" s="409">
        <f>SUM(CP252:CP259)+CP261</f>
        <v/>
      </c>
      <c r="CQ260" s="409">
        <f>SUM(CQ252:CQ259)+CQ261</f>
        <v/>
      </c>
      <c r="CR260" s="409">
        <f>SUM(CR252:CR259)+CR261</f>
        <v/>
      </c>
      <c r="CS260" s="409">
        <f>SUM(CS252:CS259)+CS261</f>
        <v/>
      </c>
      <c r="CT260" s="409">
        <f>SUM(CT252:CT259)+CT261</f>
        <v/>
      </c>
      <c r="CU260" s="409">
        <f>SUM(CU252:CU259)+CU261</f>
        <v/>
      </c>
      <c r="CV260" s="409">
        <f>SUM(CV252:CV259)+CV261</f>
        <v/>
      </c>
      <c r="CW260" s="409">
        <f>SUM(CW252:CW259)+CW261</f>
        <v/>
      </c>
      <c r="CX260" s="409">
        <f>SUM(CX252:CX259)+CX261</f>
        <v/>
      </c>
      <c r="CY260" s="409">
        <f>SUM(CY252:CY259)+CY261</f>
        <v/>
      </c>
      <c r="CZ260" s="409">
        <f>SUM(CZ252:CZ259)+CZ261</f>
        <v/>
      </c>
      <c r="DA260" s="409">
        <f>SUM(DA252:DA259)+DA261</f>
        <v/>
      </c>
      <c r="DB260" s="409">
        <f>SUM(DB252:DB259)+DB261</f>
        <v/>
      </c>
      <c r="DC260" s="409">
        <f>SUM(DC252:DC259)+DC261</f>
        <v/>
      </c>
      <c r="DD260" s="409">
        <f>SUM(DD252:DD259)+DD261</f>
        <v/>
      </c>
      <c r="DE260" s="409">
        <f>SUM(DE252:DE259)+DE261</f>
        <v/>
      </c>
    </row>
    <row r="261" ht="15" customFormat="1" customHeight="1" s="380">
      <c r="A261" s="382" t="inlineStr">
        <is>
          <t xml:space="preserve">  HVN BD deals, bonded (included in total above)</t>
        </is>
      </c>
      <c r="B261" s="392" t="n"/>
      <c r="C261" s="392" t="n"/>
      <c r="D261" s="392" t="n"/>
      <c r="E261" s="392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2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2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2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2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2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2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2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2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2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2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2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2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2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2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2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2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2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2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2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2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2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2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2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2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2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2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2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2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2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2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2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2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2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2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2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2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2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2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2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2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2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2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2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2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2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2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2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2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2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2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2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2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2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2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2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2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2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2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2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2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2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2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2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2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2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2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2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2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2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2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2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2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2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2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2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2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2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2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2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2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2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2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2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2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2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2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2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2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2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2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2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2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2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2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2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2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2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2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2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2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2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2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2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2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Format="1" customHeight="1" s="380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Format="1" customHeight="1" s="380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Format="1" customHeight="1" s="380">
      <c r="A264" s="402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Format="1" customHeight="1" s="380">
      <c r="A265" s="397" t="inlineStr">
        <is>
          <t>LV Beginning Cash</t>
        </is>
      </c>
      <c r="B265" s="392" t="n"/>
      <c r="C265" s="392" t="n"/>
      <c r="D265" s="392" t="n"/>
      <c r="E265" s="392" t="n"/>
      <c r="F265" s="392" t="n"/>
      <c r="G265" s="392" t="n"/>
      <c r="H265" s="392" t="n"/>
      <c r="I265" s="392">
        <f>Assumptions!B29</f>
        <v/>
      </c>
      <c r="J265" s="392">
        <f>I273</f>
        <v/>
      </c>
      <c r="K265" s="392">
        <f>J273</f>
        <v/>
      </c>
      <c r="L265" s="392">
        <f>K273</f>
        <v/>
      </c>
      <c r="M265" s="392">
        <f>L273</f>
        <v/>
      </c>
      <c r="N265" s="392">
        <f>M273</f>
        <v/>
      </c>
      <c r="O265" s="392">
        <f>N273</f>
        <v/>
      </c>
      <c r="P265" s="392">
        <f>O273</f>
        <v/>
      </c>
      <c r="Q265" s="392">
        <f>P273</f>
        <v/>
      </c>
      <c r="R265" s="392">
        <f>Q273</f>
        <v/>
      </c>
      <c r="S265" s="392">
        <f>R273</f>
        <v/>
      </c>
      <c r="T265" s="392">
        <f>S273</f>
        <v/>
      </c>
      <c r="U265" s="392">
        <f>T273</f>
        <v/>
      </c>
      <c r="V265" s="392">
        <f>U273</f>
        <v/>
      </c>
      <c r="W265" s="392">
        <f>V273</f>
        <v/>
      </c>
      <c r="X265" s="392">
        <f>W273</f>
        <v/>
      </c>
      <c r="Y265" s="392">
        <f>X273</f>
        <v/>
      </c>
      <c r="Z265" s="392">
        <f>Y273</f>
        <v/>
      </c>
      <c r="AA265" s="392">
        <f>Z273</f>
        <v/>
      </c>
      <c r="AB265" s="392">
        <f>AA273</f>
        <v/>
      </c>
      <c r="AC265" s="392">
        <f>AB273</f>
        <v/>
      </c>
      <c r="AD265" s="392">
        <f>AC273</f>
        <v/>
      </c>
      <c r="AE265" s="392">
        <f>AD273</f>
        <v/>
      </c>
      <c r="AF265" s="392">
        <f>AE273</f>
        <v/>
      </c>
      <c r="AG265" s="392">
        <f>AF273</f>
        <v/>
      </c>
      <c r="AH265" s="392">
        <f>AG273</f>
        <v/>
      </c>
      <c r="AI265" s="392">
        <f>AH273</f>
        <v/>
      </c>
      <c r="AJ265" s="392">
        <f>AI273</f>
        <v/>
      </c>
      <c r="AK265" s="392">
        <f>AJ273</f>
        <v/>
      </c>
      <c r="AL265" s="392">
        <f>AK273</f>
        <v/>
      </c>
      <c r="AM265" s="392">
        <f>AL273</f>
        <v/>
      </c>
      <c r="AN265" s="392">
        <f>AM273</f>
        <v/>
      </c>
      <c r="AO265" s="392">
        <f>AN273</f>
        <v/>
      </c>
      <c r="AP265" s="392">
        <f>AO273</f>
        <v/>
      </c>
      <c r="AQ265" s="392">
        <f>AP273</f>
        <v/>
      </c>
      <c r="AR265" s="392">
        <f>AQ273</f>
        <v/>
      </c>
      <c r="AS265" s="392">
        <f>AR273</f>
        <v/>
      </c>
      <c r="AT265" s="392">
        <f>AS273</f>
        <v/>
      </c>
      <c r="AU265" s="392">
        <f>AT273</f>
        <v/>
      </c>
      <c r="AV265" s="392">
        <f>AU273</f>
        <v/>
      </c>
      <c r="AW265" s="392">
        <f>AV273</f>
        <v/>
      </c>
      <c r="AX265" s="392">
        <f>AW273</f>
        <v/>
      </c>
      <c r="AY265" s="392">
        <f>AX273</f>
        <v/>
      </c>
      <c r="AZ265" s="392">
        <f>AY273</f>
        <v/>
      </c>
      <c r="BA265" s="392">
        <f>AZ273</f>
        <v/>
      </c>
      <c r="BB265" s="392">
        <f>BA273</f>
        <v/>
      </c>
      <c r="BC265" s="392">
        <f>BB273</f>
        <v/>
      </c>
      <c r="BD265" s="392">
        <f>BC273</f>
        <v/>
      </c>
      <c r="BE265" s="392">
        <f>BD273</f>
        <v/>
      </c>
      <c r="BF265" s="392">
        <f>BE273</f>
        <v/>
      </c>
      <c r="BG265" s="392">
        <f>BF273</f>
        <v/>
      </c>
      <c r="BH265" s="392">
        <f>BG273</f>
        <v/>
      </c>
      <c r="BI265" s="392">
        <f>BH273</f>
        <v/>
      </c>
      <c r="BJ265" s="392">
        <f>BI273</f>
        <v/>
      </c>
      <c r="BK265" s="392">
        <f>BJ273</f>
        <v/>
      </c>
      <c r="BL265" s="392">
        <f>BK273</f>
        <v/>
      </c>
      <c r="BM265" s="392">
        <f>BL273</f>
        <v/>
      </c>
      <c r="BN265" s="392">
        <f>BM273</f>
        <v/>
      </c>
      <c r="BO265" s="392">
        <f>BN273</f>
        <v/>
      </c>
      <c r="BP265" s="392">
        <f>BO273</f>
        <v/>
      </c>
      <c r="BQ265" s="392">
        <f>BP273</f>
        <v/>
      </c>
      <c r="BR265" s="392">
        <f>BQ273</f>
        <v/>
      </c>
      <c r="BS265" s="392">
        <f>BR273</f>
        <v/>
      </c>
      <c r="BT265" s="392">
        <f>BS273</f>
        <v/>
      </c>
      <c r="BU265" s="392">
        <f>BT273</f>
        <v/>
      </c>
      <c r="BV265" s="392">
        <f>BU273</f>
        <v/>
      </c>
      <c r="BW265" s="392">
        <f>BV273</f>
        <v/>
      </c>
      <c r="BX265" s="392">
        <f>BW273</f>
        <v/>
      </c>
      <c r="BY265" s="392">
        <f>BX273</f>
        <v/>
      </c>
      <c r="BZ265" s="392">
        <f>BY273</f>
        <v/>
      </c>
      <c r="CA265" s="392">
        <f>BZ273</f>
        <v/>
      </c>
      <c r="CB265" s="392">
        <f>CA273</f>
        <v/>
      </c>
      <c r="CC265" s="392">
        <f>CB273</f>
        <v/>
      </c>
      <c r="CD265" s="392">
        <f>CC273</f>
        <v/>
      </c>
      <c r="CE265" s="392">
        <f>CD273</f>
        <v/>
      </c>
      <c r="CF265" s="392">
        <f>CE273</f>
        <v/>
      </c>
      <c r="CG265" s="392">
        <f>CF273</f>
        <v/>
      </c>
      <c r="CH265" s="392">
        <f>CG273</f>
        <v/>
      </c>
      <c r="CI265" s="392">
        <f>CH273</f>
        <v/>
      </c>
      <c r="CJ265" s="392">
        <f>CI273</f>
        <v/>
      </c>
      <c r="CK265" s="392">
        <f>CJ273</f>
        <v/>
      </c>
      <c r="CL265" s="392">
        <f>CK273</f>
        <v/>
      </c>
      <c r="CM265" s="392">
        <f>CL273</f>
        <v/>
      </c>
      <c r="CN265" s="392">
        <f>CM273</f>
        <v/>
      </c>
      <c r="CO265" s="392">
        <f>CN273</f>
        <v/>
      </c>
      <c r="CP265" s="392">
        <f>CO273</f>
        <v/>
      </c>
      <c r="CQ265" s="392">
        <f>CP273</f>
        <v/>
      </c>
      <c r="CR265" s="392">
        <f>CQ273</f>
        <v/>
      </c>
      <c r="CS265" s="392">
        <f>CR273</f>
        <v/>
      </c>
      <c r="CT265" s="392">
        <f>CS273</f>
        <v/>
      </c>
      <c r="CU265" s="392">
        <f>CT273</f>
        <v/>
      </c>
      <c r="CV265" s="392">
        <f>CU273</f>
        <v/>
      </c>
      <c r="CW265" s="392">
        <f>CV273</f>
        <v/>
      </c>
      <c r="CX265" s="392">
        <f>CW273</f>
        <v/>
      </c>
      <c r="CY265" s="392">
        <f>CX273</f>
        <v/>
      </c>
      <c r="CZ265" s="392">
        <f>CY273</f>
        <v/>
      </c>
      <c r="DA265" s="392">
        <f>CZ273</f>
        <v/>
      </c>
      <c r="DB265" s="392">
        <f>DA273</f>
        <v/>
      </c>
      <c r="DC265" s="392">
        <f>DB273</f>
        <v/>
      </c>
      <c r="DD265" s="392">
        <f>DC273</f>
        <v/>
      </c>
      <c r="DE265" s="392">
        <f>DD273</f>
        <v/>
      </c>
    </row>
    <row r="266" ht="15" customFormat="1" customHeight="1" s="380">
      <c r="A266" s="397" t="inlineStr">
        <is>
          <t>LV Net Cash Flow</t>
        </is>
      </c>
      <c r="B266" s="392" t="n"/>
      <c r="C266" s="392" t="n"/>
      <c r="D266" s="392" t="n"/>
      <c r="E266" s="392" t="n"/>
      <c r="F266" s="392" t="n"/>
      <c r="G266" s="392" t="n"/>
      <c r="H266" s="392" t="n"/>
      <c r="I266" s="392">
        <f>I147</f>
        <v/>
      </c>
      <c r="J266" s="392">
        <f>J147</f>
        <v/>
      </c>
      <c r="K266" s="392">
        <f>K147</f>
        <v/>
      </c>
      <c r="L266" s="392">
        <f>L147</f>
        <v/>
      </c>
      <c r="M266" s="392">
        <f>M147</f>
        <v/>
      </c>
      <c r="N266" s="392">
        <f>N147</f>
        <v/>
      </c>
      <c r="O266" s="392">
        <f>O147</f>
        <v/>
      </c>
      <c r="P266" s="392">
        <f>P147</f>
        <v/>
      </c>
      <c r="Q266" s="392">
        <f>Q147</f>
        <v/>
      </c>
      <c r="R266" s="392">
        <f>R147</f>
        <v/>
      </c>
      <c r="S266" s="392">
        <f>S147</f>
        <v/>
      </c>
      <c r="T266" s="392">
        <f>T147</f>
        <v/>
      </c>
      <c r="U266" s="392">
        <f>U147</f>
        <v/>
      </c>
      <c r="V266" s="392">
        <f>V147</f>
        <v/>
      </c>
      <c r="W266" s="392">
        <f>W147</f>
        <v/>
      </c>
      <c r="X266" s="392">
        <f>X147</f>
        <v/>
      </c>
      <c r="Y266" s="392">
        <f>Y147</f>
        <v/>
      </c>
      <c r="Z266" s="392">
        <f>Z147</f>
        <v/>
      </c>
      <c r="AA266" s="392">
        <f>AA147</f>
        <v/>
      </c>
      <c r="AB266" s="392">
        <f>AB147</f>
        <v/>
      </c>
      <c r="AC266" s="392">
        <f>AC147</f>
        <v/>
      </c>
      <c r="AD266" s="392">
        <f>AD147</f>
        <v/>
      </c>
      <c r="AE266" s="392">
        <f>AE147</f>
        <v/>
      </c>
      <c r="AF266" s="392">
        <f>AF147</f>
        <v/>
      </c>
      <c r="AG266" s="392">
        <f>AG147</f>
        <v/>
      </c>
      <c r="AH266" s="392">
        <f>AH147</f>
        <v/>
      </c>
      <c r="AI266" s="392">
        <f>AI147</f>
        <v/>
      </c>
      <c r="AJ266" s="392">
        <f>AJ147</f>
        <v/>
      </c>
      <c r="AK266" s="392">
        <f>AK147</f>
        <v/>
      </c>
      <c r="AL266" s="392">
        <f>AL147</f>
        <v/>
      </c>
      <c r="AM266" s="392">
        <f>AM147</f>
        <v/>
      </c>
      <c r="AN266" s="392">
        <f>AN147</f>
        <v/>
      </c>
      <c r="AO266" s="392">
        <f>AO147</f>
        <v/>
      </c>
      <c r="AP266" s="392">
        <f>AP147</f>
        <v/>
      </c>
      <c r="AQ266" s="392">
        <f>AQ147</f>
        <v/>
      </c>
      <c r="AR266" s="392">
        <f>AR147</f>
        <v/>
      </c>
      <c r="AS266" s="392">
        <f>AS147</f>
        <v/>
      </c>
      <c r="AT266" s="392">
        <f>AT147</f>
        <v/>
      </c>
      <c r="AU266" s="392">
        <f>AU147</f>
        <v/>
      </c>
      <c r="AV266" s="392">
        <f>AV147</f>
        <v/>
      </c>
      <c r="AW266" s="392">
        <f>AW147</f>
        <v/>
      </c>
      <c r="AX266" s="392">
        <f>AX147</f>
        <v/>
      </c>
      <c r="AY266" s="392">
        <f>AY147</f>
        <v/>
      </c>
      <c r="AZ266" s="392">
        <f>AZ147</f>
        <v/>
      </c>
      <c r="BA266" s="392">
        <f>BA147</f>
        <v/>
      </c>
      <c r="BB266" s="392">
        <f>BB147</f>
        <v/>
      </c>
      <c r="BC266" s="392">
        <f>BC147</f>
        <v/>
      </c>
      <c r="BD266" s="392">
        <f>BD147</f>
        <v/>
      </c>
      <c r="BE266" s="392">
        <f>BE147</f>
        <v/>
      </c>
      <c r="BF266" s="392">
        <f>BF147</f>
        <v/>
      </c>
      <c r="BG266" s="392">
        <f>BG147</f>
        <v/>
      </c>
      <c r="BH266" s="392">
        <f>BH147</f>
        <v/>
      </c>
      <c r="BI266" s="392">
        <f>BI147</f>
        <v/>
      </c>
      <c r="BJ266" s="392">
        <f>BJ147</f>
        <v/>
      </c>
      <c r="BK266" s="392">
        <f>BK147</f>
        <v/>
      </c>
      <c r="BL266" s="392">
        <f>BL147</f>
        <v/>
      </c>
      <c r="BM266" s="392">
        <f>BM147</f>
        <v/>
      </c>
      <c r="BN266" s="392">
        <f>BN147</f>
        <v/>
      </c>
      <c r="BO266" s="392">
        <f>BO147</f>
        <v/>
      </c>
      <c r="BP266" s="392">
        <f>BP147</f>
        <v/>
      </c>
      <c r="BQ266" s="392">
        <f>BQ147</f>
        <v/>
      </c>
      <c r="BR266" s="392">
        <f>BR147</f>
        <v/>
      </c>
      <c r="BS266" s="392">
        <f>BS147</f>
        <v/>
      </c>
      <c r="BT266" s="392">
        <f>BT147</f>
        <v/>
      </c>
      <c r="BU266" s="392">
        <f>BU147</f>
        <v/>
      </c>
      <c r="BV266" s="392">
        <f>BV147</f>
        <v/>
      </c>
      <c r="BW266" s="392">
        <f>BW147</f>
        <v/>
      </c>
      <c r="BX266" s="392">
        <f>BX147</f>
        <v/>
      </c>
      <c r="BY266" s="392">
        <f>BY147</f>
        <v/>
      </c>
      <c r="BZ266" s="392">
        <f>BZ147</f>
        <v/>
      </c>
      <c r="CA266" s="392">
        <f>CA147</f>
        <v/>
      </c>
      <c r="CB266" s="392">
        <f>CB147</f>
        <v/>
      </c>
      <c r="CC266" s="392">
        <f>CC147</f>
        <v/>
      </c>
      <c r="CD266" s="392">
        <f>CD147</f>
        <v/>
      </c>
      <c r="CE266" s="392">
        <f>CE147</f>
        <v/>
      </c>
      <c r="CF266" s="392">
        <f>CF147</f>
        <v/>
      </c>
      <c r="CG266" s="392">
        <f>CG147</f>
        <v/>
      </c>
      <c r="CH266" s="392">
        <f>CH147</f>
        <v/>
      </c>
      <c r="CI266" s="392">
        <f>CI147</f>
        <v/>
      </c>
      <c r="CJ266" s="392">
        <f>CJ147</f>
        <v/>
      </c>
      <c r="CK266" s="392">
        <f>CK147</f>
        <v/>
      </c>
      <c r="CL266" s="392">
        <f>CL147</f>
        <v/>
      </c>
      <c r="CM266" s="392">
        <f>CM147</f>
        <v/>
      </c>
      <c r="CN266" s="392">
        <f>CN147</f>
        <v/>
      </c>
      <c r="CO266" s="392">
        <f>CO147</f>
        <v/>
      </c>
      <c r="CP266" s="392">
        <f>CP147</f>
        <v/>
      </c>
      <c r="CQ266" s="392">
        <f>CQ147</f>
        <v/>
      </c>
      <c r="CR266" s="392">
        <f>CR147</f>
        <v/>
      </c>
      <c r="CS266" s="392">
        <f>CS147</f>
        <v/>
      </c>
      <c r="CT266" s="392">
        <f>CT147</f>
        <v/>
      </c>
      <c r="CU266" s="392">
        <f>CU147</f>
        <v/>
      </c>
      <c r="CV266" s="392">
        <f>CV147</f>
        <v/>
      </c>
      <c r="CW266" s="392">
        <f>CW147</f>
        <v/>
      </c>
      <c r="CX266" s="392">
        <f>CX147</f>
        <v/>
      </c>
      <c r="CY266" s="392">
        <f>CY147</f>
        <v/>
      </c>
      <c r="CZ266" s="392">
        <f>CZ147</f>
        <v/>
      </c>
      <c r="DA266" s="392">
        <f>DA147</f>
        <v/>
      </c>
      <c r="DB266" s="392">
        <f>DB147</f>
        <v/>
      </c>
      <c r="DC266" s="392">
        <f>DC147</f>
        <v/>
      </c>
      <c r="DD266" s="392">
        <f>DD147</f>
        <v/>
      </c>
      <c r="DE266" s="392">
        <f>DE147</f>
        <v/>
      </c>
    </row>
    <row r="267" ht="15" customFormat="1" customHeight="1" s="380">
      <c r="A267" s="397" t="inlineStr">
        <is>
          <t>LV Receivables</t>
        </is>
      </c>
      <c r="B267" s="392" t="n"/>
      <c r="C267" s="392" t="n"/>
      <c r="D267" s="392" t="n"/>
      <c r="E267" s="392" t="n"/>
      <c r="F267" s="392" t="n"/>
      <c r="G267" s="392" t="n"/>
      <c r="H267" s="392" t="n"/>
      <c r="I267" s="392" t="n">
        <v>9463439</v>
      </c>
      <c r="J267" s="392" t="n"/>
      <c r="K267" s="392" t="n"/>
      <c r="L267" s="392" t="n"/>
      <c r="M267" s="392" t="n"/>
      <c r="N267" s="392" t="n"/>
      <c r="O267" s="392" t="n"/>
      <c r="P267" s="392" t="n"/>
      <c r="Q267" s="392" t="n"/>
      <c r="R267" s="392" t="n"/>
      <c r="S267" s="392" t="n"/>
      <c r="T267" s="392" t="n"/>
      <c r="U267" s="392" t="n"/>
      <c r="V267" s="392" t="n"/>
      <c r="W267" s="392" t="n"/>
      <c r="X267" s="392" t="n"/>
      <c r="Y267" s="392" t="n"/>
      <c r="Z267" s="392" t="n"/>
      <c r="AA267" s="392" t="n"/>
      <c r="AB267" s="392" t="n"/>
      <c r="AC267" s="392" t="n"/>
      <c r="AD267" s="392" t="n"/>
      <c r="AE267" s="392" t="n"/>
      <c r="AF267" s="392" t="n"/>
      <c r="AG267" s="392" t="n"/>
      <c r="AH267" s="392" t="n"/>
      <c r="AI267" s="392" t="n"/>
      <c r="AJ267" s="392" t="n"/>
      <c r="AK267" s="392" t="n"/>
      <c r="AL267" s="392" t="n"/>
      <c r="AM267" s="392" t="n"/>
      <c r="AN267" s="392" t="n"/>
      <c r="AO267" s="392" t="n"/>
      <c r="AP267" s="392" t="n"/>
      <c r="AQ267" s="392" t="n"/>
      <c r="AR267" s="392" t="n"/>
      <c r="AS267" s="392" t="n"/>
      <c r="AT267" s="392" t="n"/>
      <c r="AU267" s="392" t="n"/>
      <c r="AV267" s="392" t="n"/>
      <c r="AW267" s="392" t="n"/>
      <c r="AX267" s="392" t="n"/>
      <c r="AY267" s="392" t="n"/>
      <c r="AZ267" s="392" t="n"/>
      <c r="BA267" s="392" t="n"/>
      <c r="BB267" s="392" t="n"/>
      <c r="BC267" s="392" t="n"/>
      <c r="BD267" s="392" t="n"/>
      <c r="BE267" s="392" t="n"/>
      <c r="BF267" s="392" t="n"/>
      <c r="BG267" s="392" t="n"/>
      <c r="BH267" s="392" t="n"/>
      <c r="BI267" s="392" t="n"/>
      <c r="BJ267" s="392" t="n"/>
      <c r="BK267" s="392" t="n"/>
      <c r="BL267" s="392" t="n"/>
      <c r="BM267" s="392" t="n"/>
      <c r="BN267" s="392" t="n"/>
      <c r="BO267" s="392" t="n"/>
      <c r="BP267" s="392" t="n"/>
      <c r="BQ267" s="392" t="n"/>
      <c r="BR267" s="392" t="n"/>
      <c r="BS267" s="392" t="n"/>
      <c r="BT267" s="392" t="n"/>
      <c r="BU267" s="392" t="n"/>
      <c r="BV267" s="392" t="n"/>
      <c r="BW267" s="392" t="n"/>
      <c r="BX267" s="392" t="n"/>
      <c r="BY267" s="392" t="n"/>
      <c r="BZ267" s="392" t="n"/>
      <c r="CA267" s="392" t="n"/>
      <c r="CB267" s="392" t="n"/>
      <c r="CC267" s="392" t="n"/>
      <c r="CD267" s="392" t="n"/>
      <c r="CE267" s="392" t="n"/>
      <c r="CF267" s="392" t="n"/>
      <c r="CG267" s="392" t="n"/>
      <c r="CH267" s="392" t="n"/>
      <c r="CI267" s="392" t="n"/>
      <c r="CJ267" s="392" t="n"/>
      <c r="CK267" s="392" t="n"/>
      <c r="CL267" s="392" t="n"/>
      <c r="CM267" s="392" t="n"/>
      <c r="CN267" s="392" t="n"/>
      <c r="CO267" s="392" t="n"/>
      <c r="CP267" s="392" t="n"/>
      <c r="CQ267" s="392" t="n"/>
      <c r="CR267" s="392" t="n"/>
      <c r="CS267" s="392" t="n"/>
      <c r="CT267" s="392" t="n"/>
      <c r="CU267" s="392" t="n"/>
      <c r="CV267" s="392" t="n"/>
      <c r="CW267" s="392" t="n"/>
      <c r="CX267" s="392" t="n"/>
      <c r="CY267" s="392" t="n"/>
      <c r="CZ267" s="392" t="n"/>
      <c r="DA267" s="392" t="n"/>
      <c r="DB267" s="392" t="n"/>
      <c r="DC267" s="392" t="n"/>
      <c r="DD267" s="392" t="n"/>
      <c r="DE267" s="392" t="n"/>
    </row>
    <row r="268" ht="15" customFormat="1" customHeight="1" s="380">
      <c r="A268" s="397" t="inlineStr">
        <is>
          <t>LV Payables</t>
        </is>
      </c>
      <c r="B268" s="392" t="n"/>
      <c r="C268" s="392" t="n"/>
      <c r="D268" s="392" t="n"/>
      <c r="E268" s="392" t="n"/>
      <c r="F268" s="392" t="n"/>
      <c r="G268" s="392" t="n"/>
      <c r="H268" s="392" t="n"/>
      <c r="I268" s="392" t="n">
        <v>-8434511</v>
      </c>
      <c r="J268" s="392" t="n"/>
      <c r="K268" s="392" t="n"/>
      <c r="L268" s="392" t="n"/>
      <c r="M268" s="392" t="n"/>
      <c r="N268" s="392" t="n"/>
      <c r="O268" s="392" t="n"/>
      <c r="P268" s="392" t="n"/>
      <c r="Q268" s="392" t="n"/>
      <c r="R268" s="392" t="n"/>
      <c r="S268" s="392" t="n"/>
      <c r="T268" s="392" t="n"/>
      <c r="U268" s="392" t="n"/>
      <c r="V268" s="392" t="n"/>
      <c r="W268" s="392" t="n"/>
      <c r="X268" s="392" t="n"/>
      <c r="Y268" s="392" t="n"/>
      <c r="Z268" s="392" t="n"/>
      <c r="AA268" s="392" t="n"/>
      <c r="AB268" s="392" t="n"/>
      <c r="AC268" s="392" t="n"/>
      <c r="AD268" s="392" t="n"/>
      <c r="AE268" s="392" t="n"/>
      <c r="AF268" s="392" t="n"/>
      <c r="AG268" s="392" t="n"/>
      <c r="AH268" s="392" t="n"/>
      <c r="AI268" s="392" t="n"/>
      <c r="AJ268" s="392" t="n"/>
      <c r="AK268" s="392" t="n"/>
      <c r="AL268" s="392" t="n"/>
      <c r="AM268" s="392" t="n"/>
      <c r="AN268" s="392" t="n"/>
      <c r="AO268" s="392" t="n"/>
      <c r="AP268" s="392" t="n"/>
      <c r="AQ268" s="392" t="n"/>
      <c r="AR268" s="392" t="n"/>
      <c r="AS268" s="392" t="n"/>
      <c r="AT268" s="392" t="n"/>
      <c r="AU268" s="392" t="n"/>
      <c r="AV268" s="392" t="n"/>
      <c r="AW268" s="392" t="n"/>
      <c r="AX268" s="392" t="n"/>
      <c r="AY268" s="392" t="n"/>
      <c r="AZ268" s="392" t="n"/>
      <c r="BA268" s="392" t="n"/>
      <c r="BB268" s="392" t="n"/>
      <c r="BC268" s="392" t="n"/>
      <c r="BD268" s="392" t="n"/>
      <c r="BE268" s="392" t="n"/>
      <c r="BF268" s="392" t="n"/>
      <c r="BG268" s="392" t="n"/>
      <c r="BH268" s="392" t="n"/>
      <c r="BI268" s="392" t="n"/>
      <c r="BJ268" s="392" t="n"/>
      <c r="BK268" s="392" t="n"/>
      <c r="BL268" s="392" t="n"/>
      <c r="BM268" s="392" t="n"/>
      <c r="BN268" s="392" t="n"/>
      <c r="BO268" s="392" t="n"/>
      <c r="BP268" s="392" t="n"/>
      <c r="BQ268" s="392" t="n"/>
      <c r="BR268" s="392" t="n"/>
      <c r="BS268" s="392" t="n"/>
      <c r="BT268" s="392" t="n"/>
      <c r="BU268" s="392" t="n"/>
      <c r="BV268" s="392" t="n"/>
      <c r="BW268" s="392" t="n"/>
      <c r="BX268" s="392" t="n"/>
      <c r="BY268" s="392" t="n"/>
      <c r="BZ268" s="392" t="n"/>
      <c r="CA268" s="392" t="n"/>
      <c r="CB268" s="392" t="n"/>
      <c r="CC268" s="392" t="n"/>
      <c r="CD268" s="392" t="n"/>
      <c r="CE268" s="392" t="n"/>
      <c r="CF268" s="392" t="n"/>
      <c r="CG268" s="392" t="n"/>
      <c r="CH268" s="392" t="n"/>
      <c r="CI268" s="392" t="n"/>
      <c r="CJ268" s="392" t="n"/>
      <c r="CK268" s="392" t="n"/>
      <c r="CL268" s="392" t="n"/>
      <c r="CM268" s="392" t="n"/>
      <c r="CN268" s="392" t="n"/>
      <c r="CO268" s="392" t="n"/>
      <c r="CP268" s="392" t="n"/>
      <c r="CQ268" s="392" t="n"/>
      <c r="CR268" s="392" t="n"/>
      <c r="CS268" s="392" t="n"/>
      <c r="CT268" s="392" t="n"/>
      <c r="CU268" s="392" t="n"/>
      <c r="CV268" s="392" t="n"/>
      <c r="CW268" s="392" t="n"/>
      <c r="CX268" s="392" t="n"/>
      <c r="CY268" s="392" t="n"/>
      <c r="CZ268" s="392" t="n"/>
      <c r="DA268" s="392" t="n"/>
      <c r="DB268" s="392" t="n"/>
      <c r="DC268" s="392" t="n"/>
      <c r="DD268" s="392" t="n"/>
      <c r="DE268" s="392" t="n"/>
    </row>
    <row r="269" ht="15" customFormat="1" customHeight="1" s="380">
      <c r="A269" s="397" t="inlineStr">
        <is>
          <t>LV GP Collection Lag, less Deal-Terms Accruals (non-cash)</t>
        </is>
      </c>
      <c r="B269" s="392" t="n"/>
      <c r="C269" s="392" t="n"/>
      <c r="D269" s="392" t="n"/>
      <c r="E269" s="392" t="n"/>
      <c r="F269" s="392" t="n"/>
      <c r="G269" s="392" t="n"/>
      <c r="H269" s="392" t="n"/>
      <c r="I269" s="392">
        <f>H109-I109-H107-IF(H$3&lt;5,0,-SUMPRODUCT('Deal Terms'!$E$4:$E$47*('Deal Terms'!$G$4:$G$47=0),H$13:H$56+H$60:H$103))</f>
        <v/>
      </c>
      <c r="J269" s="392">
        <f>I109-J109-I107-IF(I$3&lt;5,0,-SUMPRODUCT('Deal Terms'!$E$4:$E$47*('Deal Terms'!$G$4:$G$47=0),I$13:I$56+I$60:I$103))</f>
        <v/>
      </c>
      <c r="K269" s="392">
        <f>J109-K109-J107-IF(J$3&lt;5,0,-SUMPRODUCT('Deal Terms'!$E$4:$E$47*('Deal Terms'!$G$4:$G$47=0),J$13:J$56+J$60:J$103))</f>
        <v/>
      </c>
      <c r="L269" s="392">
        <f>K109-L109-K107-IF(K$3&lt;5,0,-SUMPRODUCT('Deal Terms'!$E$4:$E$47*('Deal Terms'!$G$4:$G$47=0),K$13:K$56+K$60:K$103))</f>
        <v/>
      </c>
      <c r="M269" s="392">
        <f>L109-M109-L107-IF(L$3&lt;5,0,-SUMPRODUCT('Deal Terms'!$E$4:$E$47*('Deal Terms'!$G$4:$G$47=0),L$13:L$56+L$60:L$103))</f>
        <v/>
      </c>
      <c r="N269" s="392">
        <f>M109-N109-M107-IF(M$3&lt;5,0,-SUMPRODUCT('Deal Terms'!$E$4:$E$47*('Deal Terms'!$G$4:$G$47=0),M$13:M$56+M$60:M$103))</f>
        <v/>
      </c>
      <c r="O269" s="392">
        <f>N109-O109-N107-IF(N$3&lt;5,0,-SUMPRODUCT('Deal Terms'!$E$4:$E$47*('Deal Terms'!$G$4:$G$47=0),N$13:N$56+N$60:N$103))</f>
        <v/>
      </c>
      <c r="P269" s="392">
        <f>O109-P109-O107-IF(O$3&lt;5,0,-SUMPRODUCT('Deal Terms'!$E$4:$E$47*('Deal Terms'!$G$4:$G$47=0),O$13:O$56+O$60:O$103))</f>
        <v/>
      </c>
      <c r="Q269" s="392">
        <f>P109-Q109-P107-IF(P$3&lt;5,0,-SUMPRODUCT('Deal Terms'!$E$4:$E$47*('Deal Terms'!$G$4:$G$47=0),P$13:P$56+P$60:P$103))</f>
        <v/>
      </c>
      <c r="R269" s="392">
        <f>Q109-R109-Q107-IF(Q$3&lt;5,0,-SUMPRODUCT('Deal Terms'!$E$4:$E$47*('Deal Terms'!$G$4:$G$47=0),Q$13:Q$56+Q$60:Q$103))</f>
        <v/>
      </c>
      <c r="S269" s="392">
        <f>R109-S109-R107-IF(R$3&lt;5,0,-SUMPRODUCT('Deal Terms'!$E$4:$E$47*('Deal Terms'!$G$4:$G$47=0),R$13:R$56+R$60:R$103))</f>
        <v/>
      </c>
      <c r="T269" s="392">
        <f>S109-T109-S107-IF(S$3&lt;5,0,-SUMPRODUCT('Deal Terms'!$E$4:$E$47*('Deal Terms'!$G$4:$G$47=0),S$13:S$56+S$60:S$103))</f>
        <v/>
      </c>
      <c r="U269" s="392">
        <f>T109-U109-T107-IF(T$3&lt;5,0,-SUMPRODUCT('Deal Terms'!$E$4:$E$47*('Deal Terms'!$G$4:$G$47=0),T$13:T$56+T$60:T$103))</f>
        <v/>
      </c>
      <c r="V269" s="392">
        <f>U109-V109-U107-IF(U$3&lt;5,0,-SUMPRODUCT('Deal Terms'!$E$4:$E$47*('Deal Terms'!$G$4:$G$47=0),U$13:U$56+U$60:U$103))</f>
        <v/>
      </c>
      <c r="W269" s="392">
        <f>V109-W109-V107-IF(V$3&lt;5,0,-SUMPRODUCT('Deal Terms'!$E$4:$E$47*('Deal Terms'!$G$4:$G$47=0),V$13:V$56+V$60:V$103))</f>
        <v/>
      </c>
      <c r="X269" s="392">
        <f>W109-X109-W107-IF(W$3&lt;5,0,-SUMPRODUCT('Deal Terms'!$E$4:$E$47*('Deal Terms'!$G$4:$G$47=0),W$13:W$56+W$60:W$103))</f>
        <v/>
      </c>
      <c r="Y269" s="392">
        <f>X109-Y109-X107-IF(X$3&lt;5,0,-SUMPRODUCT('Deal Terms'!$E$4:$E$47*('Deal Terms'!$G$4:$G$47=0),X$13:X$56+X$60:X$103))</f>
        <v/>
      </c>
      <c r="Z269" s="392">
        <f>Y109-Z109-Y107-IF(Y$3&lt;5,0,-SUMPRODUCT('Deal Terms'!$E$4:$E$47*('Deal Terms'!$G$4:$G$47=0),Y$13:Y$56+Y$60:Y$103))</f>
        <v/>
      </c>
      <c r="AA269" s="392">
        <f>Z109-AA109-Z107-IF(Z$3&lt;5,0,-SUMPRODUCT('Deal Terms'!$E$4:$E$47*('Deal Terms'!$G$4:$G$47=0),Z$13:Z$56+Z$60:Z$103))</f>
        <v/>
      </c>
      <c r="AB269" s="392">
        <f>AA109-AB109-AA107-IF(AA$3&lt;5,0,-SUMPRODUCT('Deal Terms'!$E$4:$E$47*('Deal Terms'!$G$4:$G$47=0),AA$13:AA$56+AA$60:AA$103))</f>
        <v/>
      </c>
      <c r="AC269" s="392">
        <f>AB109-AC109-AB107-IF(AB$3&lt;5,0,-SUMPRODUCT('Deal Terms'!$E$4:$E$47*('Deal Terms'!$G$4:$G$47=0),AB$13:AB$56+AB$60:AB$103))</f>
        <v/>
      </c>
      <c r="AD269" s="392">
        <f>AC109-AD109-AC107-IF(AC$3&lt;5,0,-SUMPRODUCT('Deal Terms'!$E$4:$E$47*('Deal Terms'!$G$4:$G$47=0),AC$13:AC$56+AC$60:AC$103))</f>
        <v/>
      </c>
      <c r="AE269" s="392">
        <f>AD109-AE109-AD107-IF(AD$3&lt;5,0,-SUMPRODUCT('Deal Terms'!$E$4:$E$47*('Deal Terms'!$G$4:$G$47=0),AD$13:AD$56+AD$60:AD$103))</f>
        <v/>
      </c>
      <c r="AF269" s="392">
        <f>AE109-AF109-AE107-IF(AE$3&lt;5,0,-SUMPRODUCT('Deal Terms'!$E$4:$E$47*('Deal Terms'!$G$4:$G$47=0),AE$13:AE$56+AE$60:AE$103))</f>
        <v/>
      </c>
      <c r="AG269" s="392">
        <f>AF109-AG109-AF107-IF(AF$3&lt;5,0,-SUMPRODUCT('Deal Terms'!$E$4:$E$47*('Deal Terms'!$G$4:$G$47=0),AF$13:AF$56+AF$60:AF$103))</f>
        <v/>
      </c>
      <c r="AH269" s="392">
        <f>AG109-AH109-AG107-IF(AG$3&lt;5,0,-SUMPRODUCT('Deal Terms'!$E$4:$E$47*('Deal Terms'!$G$4:$G$47=0),AG$13:AG$56+AG$60:AG$103))</f>
        <v/>
      </c>
      <c r="AI269" s="392">
        <f>AH109-AI109-AH107-IF(AH$3&lt;5,0,-SUMPRODUCT('Deal Terms'!$E$4:$E$47*('Deal Terms'!$G$4:$G$47=0),AH$13:AH$56+AH$60:AH$103))</f>
        <v/>
      </c>
      <c r="AJ269" s="392">
        <f>AI109-AJ109-AI107-IF(AI$3&lt;5,0,-SUMPRODUCT('Deal Terms'!$E$4:$E$47*('Deal Terms'!$G$4:$G$47=0),AI$13:AI$56+AI$60:AI$103))</f>
        <v/>
      </c>
      <c r="AK269" s="392">
        <f>AJ109-AK109-AJ107-IF(AJ$3&lt;5,0,-SUMPRODUCT('Deal Terms'!$E$4:$E$47*('Deal Terms'!$G$4:$G$47=0),AJ$13:AJ$56+AJ$60:AJ$103))</f>
        <v/>
      </c>
      <c r="AL269" s="392">
        <f>AK109-AL109-AK107-IF(AK$3&lt;5,0,-SUMPRODUCT('Deal Terms'!$E$4:$E$47*('Deal Terms'!$G$4:$G$47=0),AK$13:AK$56+AK$60:AK$103))</f>
        <v/>
      </c>
      <c r="AM269" s="392">
        <f>AL109-AM109-AL107-IF(AL$3&lt;5,0,-SUMPRODUCT('Deal Terms'!$E$4:$E$47*('Deal Terms'!$G$4:$G$47=0),AL$13:AL$56+AL$60:AL$103))</f>
        <v/>
      </c>
      <c r="AN269" s="392">
        <f>AM109-AN109-AM107-IF(AM$3&lt;5,0,-SUMPRODUCT('Deal Terms'!$E$4:$E$47*('Deal Terms'!$G$4:$G$47=0),AM$13:AM$56+AM$60:AM$103))</f>
        <v/>
      </c>
      <c r="AO269" s="392">
        <f>AN109-AO109-AN107-IF(AN$3&lt;5,0,-SUMPRODUCT('Deal Terms'!$E$4:$E$47*('Deal Terms'!$G$4:$G$47=0),AN$13:AN$56+AN$60:AN$103))</f>
        <v/>
      </c>
      <c r="AP269" s="392">
        <f>AO109-AP109-AO107-IF(AO$3&lt;5,0,-SUMPRODUCT('Deal Terms'!$E$4:$E$47*('Deal Terms'!$G$4:$G$47=0),AO$13:AO$56+AO$60:AO$103))</f>
        <v/>
      </c>
      <c r="AQ269" s="392">
        <f>AP109-AQ109-AP107-IF(AP$3&lt;5,0,-SUMPRODUCT('Deal Terms'!$E$4:$E$47*('Deal Terms'!$G$4:$G$47=0),AP$13:AP$56+AP$60:AP$103))</f>
        <v/>
      </c>
      <c r="AR269" s="392">
        <f>AQ109-AR109-AQ107-IF(AQ$3&lt;5,0,-SUMPRODUCT('Deal Terms'!$E$4:$E$47*('Deal Terms'!$G$4:$G$47=0),AQ$13:AQ$56+AQ$60:AQ$103))</f>
        <v/>
      </c>
      <c r="AS269" s="392">
        <f>AR109-AS109-AR107-IF(AR$3&lt;5,0,-SUMPRODUCT('Deal Terms'!$E$4:$E$47*('Deal Terms'!$G$4:$G$47=0),AR$13:AR$56+AR$60:AR$103))</f>
        <v/>
      </c>
      <c r="AT269" s="392">
        <f>AS109-AT109-AS107-IF(AS$3&lt;5,0,-SUMPRODUCT('Deal Terms'!$E$4:$E$47*('Deal Terms'!$G$4:$G$47=0),AS$13:AS$56+AS$60:AS$103))</f>
        <v/>
      </c>
      <c r="AU269" s="392">
        <f>AT109-AU109-AT107-IF(AT$3&lt;5,0,-SUMPRODUCT('Deal Terms'!$E$4:$E$47*('Deal Terms'!$G$4:$G$47=0),AT$13:AT$56+AT$60:AT$103))</f>
        <v/>
      </c>
      <c r="AV269" s="392">
        <f>AU109-AV109-AU107-IF(AU$3&lt;5,0,-SUMPRODUCT('Deal Terms'!$E$4:$E$47*('Deal Terms'!$G$4:$G$47=0),AU$13:AU$56+AU$60:AU$103))</f>
        <v/>
      </c>
      <c r="AW269" s="392">
        <f>AV109-AW109-AV107-IF(AV$3&lt;5,0,-SUMPRODUCT('Deal Terms'!$E$4:$E$47*('Deal Terms'!$G$4:$G$47=0),AV$13:AV$56+AV$60:AV$103))</f>
        <v/>
      </c>
      <c r="AX269" s="392">
        <f>AW109-AX109-AW107-IF(AW$3&lt;5,0,-SUMPRODUCT('Deal Terms'!$E$4:$E$47*('Deal Terms'!$G$4:$G$47=0),AW$13:AW$56+AW$60:AW$103))</f>
        <v/>
      </c>
      <c r="AY269" s="392">
        <f>AX109-AY109-AX107-IF(AX$3&lt;5,0,-SUMPRODUCT('Deal Terms'!$E$4:$E$47*('Deal Terms'!$G$4:$G$47=0),AX$13:AX$56+AX$60:AX$103))</f>
        <v/>
      </c>
      <c r="AZ269" s="392">
        <f>AY109-AZ109-AY107-IF(AY$3&lt;5,0,-SUMPRODUCT('Deal Terms'!$E$4:$E$47*('Deal Terms'!$G$4:$G$47=0),AY$13:AY$56+AY$60:AY$103))</f>
        <v/>
      </c>
      <c r="BA269" s="392">
        <f>AZ109-BA109-AZ107-IF(AZ$3&lt;5,0,-SUMPRODUCT('Deal Terms'!$E$4:$E$47*('Deal Terms'!$G$4:$G$47=0),AZ$13:AZ$56+AZ$60:AZ$103))</f>
        <v/>
      </c>
      <c r="BB269" s="392">
        <f>BA109-BB109-BA107-IF(BA$3&lt;5,0,-SUMPRODUCT('Deal Terms'!$E$4:$E$47*('Deal Terms'!$G$4:$G$47=0),BA$13:BA$56+BA$60:BA$103))</f>
        <v/>
      </c>
      <c r="BC269" s="392">
        <f>BB109-BC109-BB107-IF(BB$3&lt;5,0,-SUMPRODUCT('Deal Terms'!$E$4:$E$47*('Deal Terms'!$G$4:$G$47=0),BB$13:BB$56+BB$60:BB$103))</f>
        <v/>
      </c>
      <c r="BD269" s="392">
        <f>BC109-BD109-BC107-IF(BC$3&lt;5,0,-SUMPRODUCT('Deal Terms'!$E$4:$E$47*('Deal Terms'!$G$4:$G$47=0),BC$13:BC$56+BC$60:BC$103))</f>
        <v/>
      </c>
      <c r="BE269" s="392">
        <f>BD109-BE109-BD107-IF(BD$3&lt;5,0,-SUMPRODUCT('Deal Terms'!$E$4:$E$47*('Deal Terms'!$G$4:$G$47=0),BD$13:BD$56+BD$60:BD$103))</f>
        <v/>
      </c>
      <c r="BF269" s="392">
        <f>BE109-BF109-BE107-IF(BE$3&lt;5,0,-SUMPRODUCT('Deal Terms'!$E$4:$E$47*('Deal Terms'!$G$4:$G$47=0),BE$13:BE$56+BE$60:BE$103))</f>
        <v/>
      </c>
      <c r="BG269" s="392">
        <f>BF109-BG109-BF107-IF(BF$3&lt;5,0,-SUMPRODUCT('Deal Terms'!$E$4:$E$47*('Deal Terms'!$G$4:$G$47=0),BF$13:BF$56+BF$60:BF$103))</f>
        <v/>
      </c>
      <c r="BH269" s="392">
        <f>BG109-BH109-BG107-IF(BG$3&lt;5,0,-SUMPRODUCT('Deal Terms'!$E$4:$E$47*('Deal Terms'!$G$4:$G$47=0),BG$13:BG$56+BG$60:BG$103))</f>
        <v/>
      </c>
      <c r="BI269" s="392">
        <f>BH109-BI109-BH107-IF(BH$3&lt;5,0,-SUMPRODUCT('Deal Terms'!$E$4:$E$47*('Deal Terms'!$G$4:$G$47=0),BH$13:BH$56+BH$60:BH$103))</f>
        <v/>
      </c>
      <c r="BJ269" s="392">
        <f>BI109-BJ109-BI107-IF(BI$3&lt;5,0,-SUMPRODUCT('Deal Terms'!$E$4:$E$47*('Deal Terms'!$G$4:$G$47=0),BI$13:BI$56+BI$60:BI$103))</f>
        <v/>
      </c>
      <c r="BK269" s="392">
        <f>BJ109-BK109-BJ107-IF(BJ$3&lt;5,0,-SUMPRODUCT('Deal Terms'!$E$4:$E$47*('Deal Terms'!$G$4:$G$47=0),BJ$13:BJ$56+BJ$60:BJ$103))</f>
        <v/>
      </c>
      <c r="BL269" s="392">
        <f>BK109-BL109-BK107-IF(BK$3&lt;5,0,-SUMPRODUCT('Deal Terms'!$E$4:$E$47*('Deal Terms'!$G$4:$G$47=0),BK$13:BK$56+BK$60:BK$103))</f>
        <v/>
      </c>
      <c r="BM269" s="392">
        <f>BL109-BM109-BL107-IF(BL$3&lt;5,0,-SUMPRODUCT('Deal Terms'!$E$4:$E$47*('Deal Terms'!$G$4:$G$47=0),BL$13:BL$56+BL$60:BL$103))</f>
        <v/>
      </c>
      <c r="BN269" s="392">
        <f>BM109-BN109-BM107-IF(BM$3&lt;5,0,-SUMPRODUCT('Deal Terms'!$E$4:$E$47*('Deal Terms'!$G$4:$G$47=0),BM$13:BM$56+BM$60:BM$103))</f>
        <v/>
      </c>
      <c r="BO269" s="392">
        <f>BN109-BO109-BN107-IF(BN$3&lt;5,0,-SUMPRODUCT('Deal Terms'!$E$4:$E$47*('Deal Terms'!$G$4:$G$47=0),BN$13:BN$56+BN$60:BN$103))</f>
        <v/>
      </c>
      <c r="BP269" s="392">
        <f>BO109-BP109-BO107-IF(BO$3&lt;5,0,-SUMPRODUCT('Deal Terms'!$E$4:$E$47*('Deal Terms'!$G$4:$G$47=0),BO$13:BO$56+BO$60:BO$103))</f>
        <v/>
      </c>
      <c r="BQ269" s="392">
        <f>BP109-BQ109-BP107-IF(BP$3&lt;5,0,-SUMPRODUCT('Deal Terms'!$E$4:$E$47*('Deal Terms'!$G$4:$G$47=0),BP$13:BP$56+BP$60:BP$103))</f>
        <v/>
      </c>
      <c r="BR269" s="392">
        <f>BQ109-BR109-BQ107-IF(BQ$3&lt;5,0,-SUMPRODUCT('Deal Terms'!$E$4:$E$47*('Deal Terms'!$G$4:$G$47=0),BQ$13:BQ$56+BQ$60:BQ$103))</f>
        <v/>
      </c>
      <c r="BS269" s="392">
        <f>BR109-BS109-BR107-IF(BR$3&lt;5,0,-SUMPRODUCT('Deal Terms'!$E$4:$E$47*('Deal Terms'!$G$4:$G$47=0),BR$13:BR$56+BR$60:BR$103))</f>
        <v/>
      </c>
      <c r="BT269" s="392">
        <f>BS109-BT109-BS107-IF(BS$3&lt;5,0,-SUMPRODUCT('Deal Terms'!$E$4:$E$47*('Deal Terms'!$G$4:$G$47=0),BS$13:BS$56+BS$60:BS$103))</f>
        <v/>
      </c>
      <c r="BU269" s="392">
        <f>BT109-BU109-BT107-IF(BT$3&lt;5,0,-SUMPRODUCT('Deal Terms'!$E$4:$E$47*('Deal Terms'!$G$4:$G$47=0),BT$13:BT$56+BT$60:BT$103))</f>
        <v/>
      </c>
      <c r="BV269" s="392">
        <f>BU109-BV109-BU107-IF(BU$3&lt;5,0,-SUMPRODUCT('Deal Terms'!$E$4:$E$47*('Deal Terms'!$G$4:$G$47=0),BU$13:BU$56+BU$60:BU$103))</f>
        <v/>
      </c>
      <c r="BW269" s="392">
        <f>BV109-BW109-BV107-IF(BV$3&lt;5,0,-SUMPRODUCT('Deal Terms'!$E$4:$E$47*('Deal Terms'!$G$4:$G$47=0),BV$13:BV$56+BV$60:BV$103))</f>
        <v/>
      </c>
      <c r="BX269" s="392">
        <f>BW109-BX109-BW107-IF(BW$3&lt;5,0,-SUMPRODUCT('Deal Terms'!$E$4:$E$47*('Deal Terms'!$G$4:$G$47=0),BW$13:BW$56+BW$60:BW$103))</f>
        <v/>
      </c>
      <c r="BY269" s="392">
        <f>BX109-BY109-BX107-IF(BX$3&lt;5,0,-SUMPRODUCT('Deal Terms'!$E$4:$E$47*('Deal Terms'!$G$4:$G$47=0),BX$13:BX$56+BX$60:BX$103))</f>
        <v/>
      </c>
      <c r="BZ269" s="392">
        <f>BY109-BZ109-BY107-IF(BY$3&lt;5,0,-SUMPRODUCT('Deal Terms'!$E$4:$E$47*('Deal Terms'!$G$4:$G$47=0),BY$13:BY$56+BY$60:BY$103))</f>
        <v/>
      </c>
      <c r="CA269" s="392">
        <f>BZ109-CA109-BZ107-IF(BZ$3&lt;5,0,-SUMPRODUCT('Deal Terms'!$E$4:$E$47*('Deal Terms'!$G$4:$G$47=0),BZ$13:BZ$56+BZ$60:BZ$103))</f>
        <v/>
      </c>
      <c r="CB269" s="392">
        <f>CA109-CB109-CA107-IF(CA$3&lt;5,0,-SUMPRODUCT('Deal Terms'!$E$4:$E$47*('Deal Terms'!$G$4:$G$47=0),CA$13:CA$56+CA$60:CA$103))</f>
        <v/>
      </c>
      <c r="CC269" s="392">
        <f>CB109-CC109-CB107-IF(CB$3&lt;5,0,-SUMPRODUCT('Deal Terms'!$E$4:$E$47*('Deal Terms'!$G$4:$G$47=0),CB$13:CB$56+CB$60:CB$103))</f>
        <v/>
      </c>
      <c r="CD269" s="392">
        <f>CC109-CD109-CC107-IF(CC$3&lt;5,0,-SUMPRODUCT('Deal Terms'!$E$4:$E$47*('Deal Terms'!$G$4:$G$47=0),CC$13:CC$56+CC$60:CC$103))</f>
        <v/>
      </c>
      <c r="CE269" s="392">
        <f>CD109-CE109-CD107-IF(CD$3&lt;5,0,-SUMPRODUCT('Deal Terms'!$E$4:$E$47*('Deal Terms'!$G$4:$G$47=0),CD$13:CD$56+CD$60:CD$103))</f>
        <v/>
      </c>
      <c r="CF269" s="392">
        <f>CE109-CF109-CE107-IF(CE$3&lt;5,0,-SUMPRODUCT('Deal Terms'!$E$4:$E$47*('Deal Terms'!$G$4:$G$47=0),CE$13:CE$56+CE$60:CE$103))</f>
        <v/>
      </c>
      <c r="CG269" s="392">
        <f>CF109-CG109-CF107-IF(CF$3&lt;5,0,-SUMPRODUCT('Deal Terms'!$E$4:$E$47*('Deal Terms'!$G$4:$G$47=0),CF$13:CF$56+CF$60:CF$103))</f>
        <v/>
      </c>
      <c r="CH269" s="392">
        <f>CG109-CH109-CG107-IF(CG$3&lt;5,0,-SUMPRODUCT('Deal Terms'!$E$4:$E$47*('Deal Terms'!$G$4:$G$47=0),CG$13:CG$56+CG$60:CG$103))</f>
        <v/>
      </c>
      <c r="CI269" s="392">
        <f>CH109-CI109-CH107-IF(CH$3&lt;5,0,-SUMPRODUCT('Deal Terms'!$E$4:$E$47*('Deal Terms'!$G$4:$G$47=0),CH$13:CH$56+CH$60:CH$103))</f>
        <v/>
      </c>
      <c r="CJ269" s="392">
        <f>CI109-CJ109-CI107-IF(CI$3&lt;5,0,-SUMPRODUCT('Deal Terms'!$E$4:$E$47*('Deal Terms'!$G$4:$G$47=0),CI$13:CI$56+CI$60:CI$103))</f>
        <v/>
      </c>
      <c r="CK269" s="392">
        <f>CJ109-CK109-CJ107-IF(CJ$3&lt;5,0,-SUMPRODUCT('Deal Terms'!$E$4:$E$47*('Deal Terms'!$G$4:$G$47=0),CJ$13:CJ$56+CJ$60:CJ$103))</f>
        <v/>
      </c>
      <c r="CL269" s="392">
        <f>CK109-CL109-CK107-IF(CK$3&lt;5,0,-SUMPRODUCT('Deal Terms'!$E$4:$E$47*('Deal Terms'!$G$4:$G$47=0),CK$13:CK$56+CK$60:CK$103))</f>
        <v/>
      </c>
      <c r="CM269" s="392">
        <f>CL109-CM109-CL107-IF(CL$3&lt;5,0,-SUMPRODUCT('Deal Terms'!$E$4:$E$47*('Deal Terms'!$G$4:$G$47=0),CL$13:CL$56+CL$60:CL$103))</f>
        <v/>
      </c>
      <c r="CN269" s="392">
        <f>CM109-CN109-CM107-IF(CM$3&lt;5,0,-SUMPRODUCT('Deal Terms'!$E$4:$E$47*('Deal Terms'!$G$4:$G$47=0),CM$13:CM$56+CM$60:CM$103))</f>
        <v/>
      </c>
      <c r="CO269" s="392">
        <f>CN109-CO109-CN107-IF(CN$3&lt;5,0,-SUMPRODUCT('Deal Terms'!$E$4:$E$47*('Deal Terms'!$G$4:$G$47=0),CN$13:CN$56+CN$60:CN$103))</f>
        <v/>
      </c>
      <c r="CP269" s="392">
        <f>CO109-CP109-CO107-IF(CO$3&lt;5,0,-SUMPRODUCT('Deal Terms'!$E$4:$E$47*('Deal Terms'!$G$4:$G$47=0),CO$13:CO$56+CO$60:CO$103))</f>
        <v/>
      </c>
      <c r="CQ269" s="392">
        <f>CP109-CQ109-CP107-IF(CP$3&lt;5,0,-SUMPRODUCT('Deal Terms'!$E$4:$E$47*('Deal Terms'!$G$4:$G$47=0),CP$13:CP$56+CP$60:CP$103))</f>
        <v/>
      </c>
      <c r="CR269" s="392">
        <f>CQ109-CR109-CQ107-IF(CQ$3&lt;5,0,-SUMPRODUCT('Deal Terms'!$E$4:$E$47*('Deal Terms'!$G$4:$G$47=0),CQ$13:CQ$56+CQ$60:CQ$103))</f>
        <v/>
      </c>
      <c r="CS269" s="392">
        <f>CR109-CS109-CR107-IF(CR$3&lt;5,0,-SUMPRODUCT('Deal Terms'!$E$4:$E$47*('Deal Terms'!$G$4:$G$47=0),CR$13:CR$56+CR$60:CR$103))</f>
        <v/>
      </c>
      <c r="CT269" s="392">
        <f>CS109-CT109-CS107-IF(CS$3&lt;5,0,-SUMPRODUCT('Deal Terms'!$E$4:$E$47*('Deal Terms'!$G$4:$G$47=0),CS$13:CS$56+CS$60:CS$103))</f>
        <v/>
      </c>
      <c r="CU269" s="392">
        <f>CT109-CU109-CT107-IF(CT$3&lt;5,0,-SUMPRODUCT('Deal Terms'!$E$4:$E$47*('Deal Terms'!$G$4:$G$47=0),CT$13:CT$56+CT$60:CT$103))</f>
        <v/>
      </c>
      <c r="CV269" s="392">
        <f>CU109-CV109-CU107-IF(CU$3&lt;5,0,-SUMPRODUCT('Deal Terms'!$E$4:$E$47*('Deal Terms'!$G$4:$G$47=0),CU$13:CU$56+CU$60:CU$103))</f>
        <v/>
      </c>
      <c r="CW269" s="392">
        <f>CV109-CW109-CV107-IF(CV$3&lt;5,0,-SUMPRODUCT('Deal Terms'!$E$4:$E$47*('Deal Terms'!$G$4:$G$47=0),CV$13:CV$56+CV$60:CV$103))</f>
        <v/>
      </c>
      <c r="CX269" s="392">
        <f>CW109-CX109-CW107-IF(CW$3&lt;5,0,-SUMPRODUCT('Deal Terms'!$E$4:$E$47*('Deal Terms'!$G$4:$G$47=0),CW$13:CW$56+CW$60:CW$103))</f>
        <v/>
      </c>
      <c r="CY269" s="392">
        <f>CX109-CY109-CX107-IF(CX$3&lt;5,0,-SUMPRODUCT('Deal Terms'!$E$4:$E$47*('Deal Terms'!$G$4:$G$47=0),CX$13:CX$56+CX$60:CX$103))</f>
        <v/>
      </c>
      <c r="CZ269" s="392">
        <f>CY109-CZ109-CY107-IF(CY$3&lt;5,0,-SUMPRODUCT('Deal Terms'!$E$4:$E$47*('Deal Terms'!$G$4:$G$47=0),CY$13:CY$56+CY$60:CY$103))</f>
        <v/>
      </c>
      <c r="DA269" s="392">
        <f>CZ109-DA109-CZ107-IF(CZ$3&lt;5,0,-SUMPRODUCT('Deal Terms'!$E$4:$E$47*('Deal Terms'!$G$4:$G$47=0),CZ$13:CZ$56+CZ$60:CZ$103))</f>
        <v/>
      </c>
      <c r="DB269" s="392">
        <f>DA109-DB109-DA107-IF(DA$3&lt;5,0,-SUMPRODUCT('Deal Terms'!$E$4:$E$47*('Deal Terms'!$G$4:$G$47=0),DA$13:DA$56+DA$60:DA$103))</f>
        <v/>
      </c>
      <c r="DC269" s="392">
        <f>DB109-DC109-DB107-IF(DB$3&lt;5,0,-SUMPRODUCT('Deal Terms'!$E$4:$E$47*('Deal Terms'!$G$4:$G$47=0),DB$13:DB$56+DB$60:DB$103))</f>
        <v/>
      </c>
      <c r="DD269" s="392">
        <f>DC109-DD109-DC107-IF(DC$3&lt;5,0,-SUMPRODUCT('Deal Terms'!$E$4:$E$47*('Deal Terms'!$G$4:$G$47=0),DC$13:DC$56+DC$60:DC$103))</f>
        <v/>
      </c>
      <c r="DE269" s="392">
        <f>DD109-DE109-DD107-IF(DD$3&lt;5,0,-SUMPRODUCT('Deal Terms'!$E$4:$E$47*('Deal Terms'!$G$4:$G$47=0),DD$13:DD$56+DD$60:DD$103))</f>
        <v/>
      </c>
    </row>
    <row r="270" ht="15" customFormat="1" customHeight="1" s="380">
      <c r="A270" s="397" t="inlineStr">
        <is>
          <t>LV to Six Peak Liquidating Distribution</t>
        </is>
      </c>
      <c r="B270" s="392" t="n"/>
      <c r="C270" s="392" t="n"/>
      <c r="D270" s="392" t="n"/>
      <c r="E270" s="392" t="n"/>
      <c r="F270" s="392" t="n"/>
      <c r="G270" s="392" t="n"/>
      <c r="H270" s="392" t="n"/>
      <c r="I270" s="392" t="n">
        <v>0</v>
      </c>
      <c r="J270" s="392" t="n"/>
      <c r="K270" s="392" t="n"/>
      <c r="L270" s="392" t="n"/>
      <c r="M270" s="392" t="n"/>
      <c r="N270" s="392" t="n"/>
      <c r="O270" s="392" t="n"/>
      <c r="P270" s="392" t="n"/>
      <c r="Q270" s="392" t="n"/>
      <c r="R270" s="392" t="n"/>
      <c r="S270" s="392" t="n"/>
      <c r="T270" s="392" t="n"/>
      <c r="U270" s="392" t="n"/>
      <c r="V270" s="392" t="n"/>
      <c r="W270" s="392" t="n"/>
      <c r="X270" s="392" t="n"/>
      <c r="Y270" s="392" t="n"/>
      <c r="Z270" s="392" t="n"/>
      <c r="AA270" s="392" t="n"/>
      <c r="AB270" s="392" t="n"/>
      <c r="AC270" s="392" t="n"/>
      <c r="AD270" s="392" t="n"/>
      <c r="AE270" s="392" t="n"/>
      <c r="AF270" s="392" t="n"/>
      <c r="AG270" s="392" t="n"/>
      <c r="AH270" s="392" t="n"/>
      <c r="AI270" s="392" t="n"/>
      <c r="AJ270" s="392" t="n"/>
      <c r="AK270" s="392" t="n"/>
      <c r="AL270" s="392" t="n"/>
      <c r="AM270" s="392" t="n"/>
      <c r="AN270" s="392" t="n"/>
      <c r="AO270" s="392" t="n"/>
      <c r="AP270" s="392" t="n"/>
      <c r="AQ270" s="392" t="n"/>
      <c r="AR270" s="392" t="n"/>
      <c r="AS270" s="392" t="n"/>
      <c r="AT270" s="392" t="n"/>
      <c r="AU270" s="392" t="n"/>
      <c r="AV270" s="392" t="n"/>
      <c r="AW270" s="392" t="n"/>
      <c r="AX270" s="392" t="n"/>
      <c r="AY270" s="392" t="n"/>
      <c r="AZ270" s="392" t="n"/>
      <c r="BA270" s="392" t="n"/>
      <c r="BB270" s="392" t="n"/>
      <c r="BC270" s="392" t="n"/>
      <c r="BD270" s="392" t="n"/>
      <c r="BE270" s="392" t="n"/>
      <c r="BF270" s="392" t="n"/>
      <c r="BG270" s="392" t="n"/>
      <c r="BH270" s="392" t="n"/>
      <c r="BI270" s="392" t="n"/>
      <c r="BJ270" s="392" t="n"/>
      <c r="BK270" s="392" t="n"/>
      <c r="BL270" s="392" t="n"/>
      <c r="BM270" s="392" t="n"/>
      <c r="BN270" s="392" t="n"/>
      <c r="BO270" s="392" t="n"/>
      <c r="BP270" s="392" t="n"/>
      <c r="BQ270" s="392" t="n"/>
      <c r="BR270" s="392" t="n"/>
      <c r="BS270" s="392" t="n"/>
      <c r="BT270" s="392" t="n"/>
      <c r="BU270" s="392" t="n"/>
      <c r="BV270" s="392" t="n"/>
      <c r="BW270" s="392" t="n"/>
      <c r="BX270" s="392" t="n"/>
      <c r="BY270" s="392" t="n"/>
      <c r="BZ270" s="392" t="n"/>
      <c r="CA270" s="392" t="n"/>
      <c r="CB270" s="392" t="n"/>
      <c r="CC270" s="392" t="n"/>
      <c r="CD270" s="392" t="n"/>
      <c r="CE270" s="392" t="n"/>
      <c r="CF270" s="392" t="n"/>
      <c r="CG270" s="392" t="n"/>
      <c r="CH270" s="392" t="n"/>
      <c r="CI270" s="392" t="n"/>
      <c r="CJ270" s="392" t="n"/>
      <c r="CK270" s="392" t="n"/>
      <c r="CL270" s="392" t="n"/>
      <c r="CM270" s="392" t="n"/>
      <c r="CN270" s="392" t="n"/>
      <c r="CO270" s="392" t="n"/>
      <c r="CP270" s="392" t="n"/>
      <c r="CQ270" s="392" t="n"/>
      <c r="CR270" s="392" t="n"/>
      <c r="CS270" s="392" t="n"/>
      <c r="CT270" s="392" t="n"/>
      <c r="CU270" s="392" t="n"/>
      <c r="CV270" s="392" t="n"/>
      <c r="CW270" s="392" t="n"/>
      <c r="CX270" s="392" t="n"/>
      <c r="CY270" s="392" t="n"/>
      <c r="CZ270" s="392" t="n"/>
      <c r="DA270" s="392" t="n"/>
      <c r="DB270" s="392" t="n"/>
      <c r="DC270" s="392" t="n"/>
      <c r="DD270" s="392" t="n"/>
      <c r="DE270" s="392" t="n"/>
    </row>
    <row r="271" ht="15" customFormat="1" customHeight="1" s="380">
      <c r="A271" s="397" t="inlineStr">
        <is>
          <t>LV Retention Withheld</t>
        </is>
      </c>
      <c r="B271" s="392" t="n"/>
      <c r="C271" s="392" t="n"/>
      <c r="D271" s="392" t="n"/>
      <c r="E271" s="392" t="n"/>
      <c r="F271" s="392" t="n"/>
      <c r="G271" s="392" t="n"/>
      <c r="H271" s="392" t="n"/>
      <c r="I271" s="392">
        <f>-0.05*(I10+I11)</f>
        <v/>
      </c>
      <c r="J271" s="392">
        <f>-0.05*(J10+J11)</f>
        <v/>
      </c>
      <c r="K271" s="392">
        <f>-0.05*(K10+K11)</f>
        <v/>
      </c>
      <c r="L271" s="392">
        <f>-0.05*(L10+L11)</f>
        <v/>
      </c>
      <c r="M271" s="392">
        <f>-0.05*(M10+M11)</f>
        <v/>
      </c>
      <c r="N271" s="392">
        <f>-0.05*(N10+N11)</f>
        <v/>
      </c>
      <c r="O271" s="392">
        <f>-0.05*(O10+O11)</f>
        <v/>
      </c>
      <c r="P271" s="392">
        <f>-0.05*(P10+P11)</f>
        <v/>
      </c>
      <c r="Q271" s="392">
        <f>-0.05*(Q10+Q11)</f>
        <v/>
      </c>
      <c r="R271" s="392">
        <f>-0.05*(R10+R11)</f>
        <v/>
      </c>
      <c r="S271" s="392">
        <f>-0.05*(S10+S11)</f>
        <v/>
      </c>
      <c r="T271" s="392">
        <f>-0.05*(T10+T11)</f>
        <v/>
      </c>
      <c r="U271" s="392">
        <f>-0.05*(U10+U11)</f>
        <v/>
      </c>
      <c r="V271" s="392">
        <f>-0.05*(V10+V11)</f>
        <v/>
      </c>
      <c r="W271" s="392">
        <f>-0.05*(W10+W11)</f>
        <v/>
      </c>
      <c r="X271" s="392">
        <f>-0.05*(X10+X11)</f>
        <v/>
      </c>
      <c r="Y271" s="392">
        <f>-0.05*(Y10+Y11)</f>
        <v/>
      </c>
      <c r="Z271" s="392">
        <f>-0.05*(Z10+Z11)</f>
        <v/>
      </c>
      <c r="AA271" s="392">
        <f>-0.05*(AA10+AA11)</f>
        <v/>
      </c>
      <c r="AB271" s="392">
        <f>-0.05*(AB10+AB11)</f>
        <v/>
      </c>
      <c r="AC271" s="392">
        <f>-0.05*(AC10+AC11)</f>
        <v/>
      </c>
      <c r="AD271" s="392">
        <f>-0.05*(AD10+AD11)</f>
        <v/>
      </c>
      <c r="AE271" s="392">
        <f>-0.05*(AE10+AE11)</f>
        <v/>
      </c>
      <c r="AF271" s="392">
        <f>-0.05*(AF10+AF11)</f>
        <v/>
      </c>
      <c r="AG271" s="392">
        <f>-0.05*(AG10+AG11)</f>
        <v/>
      </c>
      <c r="AH271" s="392">
        <f>-0.05*(AH10+AH11)</f>
        <v/>
      </c>
      <c r="AI271" s="392">
        <f>-0.05*(AI10+AI11)</f>
        <v/>
      </c>
      <c r="AJ271" s="392">
        <f>-0.05*(AJ10+AJ11)</f>
        <v/>
      </c>
      <c r="AK271" s="392">
        <f>-0.05*(AK10+AK11)</f>
        <v/>
      </c>
      <c r="AL271" s="392">
        <f>-0.05*(AL10+AL11)</f>
        <v/>
      </c>
      <c r="AM271" s="392">
        <f>-0.05*(AM10+AM11)</f>
        <v/>
      </c>
      <c r="AN271" s="392">
        <f>-0.05*(AN10+AN11)</f>
        <v/>
      </c>
      <c r="AO271" s="392">
        <f>-0.05*(AO10+AO11)</f>
        <v/>
      </c>
      <c r="AP271" s="392">
        <f>-0.05*(AP10+AP11)</f>
        <v/>
      </c>
      <c r="AQ271" s="392">
        <f>-0.05*(AQ10+AQ11)</f>
        <v/>
      </c>
      <c r="AR271" s="392">
        <f>-0.05*(AR10+AR11)</f>
        <v/>
      </c>
      <c r="AS271" s="392">
        <f>-0.05*(AS10+AS11)</f>
        <v/>
      </c>
      <c r="AT271" s="392">
        <f>-0.05*(AT10+AT11)</f>
        <v/>
      </c>
      <c r="AU271" s="392">
        <f>-0.05*(AU10+AU11)</f>
        <v/>
      </c>
      <c r="AV271" s="392">
        <f>-0.05*(AV10+AV11)</f>
        <v/>
      </c>
      <c r="AW271" s="392">
        <f>-0.05*(AW10+AW11)</f>
        <v/>
      </c>
      <c r="AX271" s="392">
        <f>-0.05*(AX10+AX11)</f>
        <v/>
      </c>
      <c r="AY271" s="392">
        <f>-0.05*(AY10+AY11)</f>
        <v/>
      </c>
      <c r="AZ271" s="392">
        <f>-0.05*(AZ10+AZ11)</f>
        <v/>
      </c>
      <c r="BA271" s="392">
        <f>-0.05*(BA10+BA11)</f>
        <v/>
      </c>
      <c r="BB271" s="392">
        <f>-0.05*(BB10+BB11)</f>
        <v/>
      </c>
      <c r="BC271" s="392">
        <f>-0.05*(BC10+BC11)</f>
        <v/>
      </c>
      <c r="BD271" s="392">
        <f>-0.05*(BD10+BD11)</f>
        <v/>
      </c>
      <c r="BE271" s="392">
        <f>-0.05*(BE10+BE11)</f>
        <v/>
      </c>
      <c r="BF271" s="392">
        <f>-0.05*(BF10+BF11)</f>
        <v/>
      </c>
      <c r="BG271" s="392">
        <f>-0.05*(BG10+BG11)</f>
        <v/>
      </c>
      <c r="BH271" s="392">
        <f>-0.05*(BH10+BH11)</f>
        <v/>
      </c>
      <c r="BI271" s="392">
        <f>-0.05*(BI10+BI11)</f>
        <v/>
      </c>
      <c r="BJ271" s="392">
        <f>-0.05*(BJ10+BJ11)</f>
        <v/>
      </c>
      <c r="BK271" s="392">
        <f>-0.05*(BK10+BK11)</f>
        <v/>
      </c>
      <c r="BL271" s="392">
        <f>-0.05*(BL10+BL11)</f>
        <v/>
      </c>
      <c r="BM271" s="392">
        <f>-0.05*(BM10+BM11)</f>
        <v/>
      </c>
      <c r="BN271" s="392">
        <f>-0.05*(BN10+BN11)</f>
        <v/>
      </c>
      <c r="BO271" s="392">
        <f>-0.05*(BO10+BO11)</f>
        <v/>
      </c>
      <c r="BP271" s="392">
        <f>-0.05*(BP10+BP11)</f>
        <v/>
      </c>
      <c r="BQ271" s="392">
        <f>-0.05*(BQ10+BQ11)</f>
        <v/>
      </c>
      <c r="BR271" s="392">
        <f>-0.05*(BR10+BR11)</f>
        <v/>
      </c>
      <c r="BS271" s="392">
        <f>-0.05*(BS10+BS11)</f>
        <v/>
      </c>
      <c r="BT271" s="392">
        <f>-0.05*(BT10+BT11)</f>
        <v/>
      </c>
      <c r="BU271" s="392">
        <f>-0.05*(BU10+BU11)</f>
        <v/>
      </c>
      <c r="BV271" s="392">
        <f>-0.05*(BV10+BV11)</f>
        <v/>
      </c>
      <c r="BW271" s="392">
        <f>-0.05*(BW10+BW11)</f>
        <v/>
      </c>
      <c r="BX271" s="392">
        <f>-0.05*(BX10+BX11)</f>
        <v/>
      </c>
      <c r="BY271" s="392">
        <f>-0.05*(BY10+BY11)</f>
        <v/>
      </c>
      <c r="BZ271" s="392">
        <f>-0.05*(BZ10+BZ11)</f>
        <v/>
      </c>
      <c r="CA271" s="392">
        <f>-0.05*(CA10+CA11)</f>
        <v/>
      </c>
      <c r="CB271" s="392">
        <f>-0.05*(CB10+CB11)</f>
        <v/>
      </c>
      <c r="CC271" s="392">
        <f>-0.05*(CC10+CC11)</f>
        <v/>
      </c>
      <c r="CD271" s="392">
        <f>-0.05*(CD10+CD11)</f>
        <v/>
      </c>
      <c r="CE271" s="392">
        <f>-0.05*(CE10+CE11)</f>
        <v/>
      </c>
      <c r="CF271" s="392">
        <f>-0.05*(CF10+CF11)</f>
        <v/>
      </c>
      <c r="CG271" s="392">
        <f>-0.05*(CG10+CG11)</f>
        <v/>
      </c>
      <c r="CH271" s="392">
        <f>-0.05*(CH10+CH11)</f>
        <v/>
      </c>
      <c r="CI271" s="392">
        <f>-0.05*(CI10+CI11)</f>
        <v/>
      </c>
      <c r="CJ271" s="392">
        <f>-0.05*(CJ10+CJ11)</f>
        <v/>
      </c>
      <c r="CK271" s="392">
        <f>-0.05*(CK10+CK11)</f>
        <v/>
      </c>
      <c r="CL271" s="392">
        <f>-0.05*(CL10+CL11)</f>
        <v/>
      </c>
      <c r="CM271" s="392">
        <f>-0.05*(CM10+CM11)</f>
        <v/>
      </c>
      <c r="CN271" s="392">
        <f>-0.05*(CN10+CN11)</f>
        <v/>
      </c>
      <c r="CO271" s="392">
        <f>-0.05*(CO10+CO11)</f>
        <v/>
      </c>
      <c r="CP271" s="392">
        <f>-0.05*(CP10+CP11)</f>
        <v/>
      </c>
      <c r="CQ271" s="392">
        <f>-0.05*(CQ10+CQ11)</f>
        <v/>
      </c>
      <c r="CR271" s="392">
        <f>-0.05*(CR10+CR11)</f>
        <v/>
      </c>
      <c r="CS271" s="392">
        <f>-0.05*(CS10+CS11)</f>
        <v/>
      </c>
      <c r="CT271" s="392">
        <f>-0.05*(CT10+CT11)</f>
        <v/>
      </c>
      <c r="CU271" s="392">
        <f>-0.05*(CU10+CU11)</f>
        <v/>
      </c>
      <c r="CV271" s="392">
        <f>-0.05*(CV10+CV11)</f>
        <v/>
      </c>
      <c r="CW271" s="392">
        <f>-0.05*(CW10+CW11)</f>
        <v/>
      </c>
      <c r="CX271" s="392">
        <f>-0.05*(CX10+CX11)</f>
        <v/>
      </c>
      <c r="CY271" s="392">
        <f>-0.05*(CY10+CY11)</f>
        <v/>
      </c>
      <c r="CZ271" s="392">
        <f>-0.05*(CZ10+CZ11)</f>
        <v/>
      </c>
      <c r="DA271" s="392">
        <f>-0.05*(DA10+DA11)</f>
        <v/>
      </c>
      <c r="DB271" s="392">
        <f>-0.05*(DB10+DB11)</f>
        <v/>
      </c>
      <c r="DC271" s="392">
        <f>-0.05*(DC10+DC11)</f>
        <v/>
      </c>
      <c r="DD271" s="392">
        <f>-0.05*(DD10+DD11)</f>
        <v/>
      </c>
      <c r="DE271" s="392">
        <f>-0.05*(DE10+DE11)</f>
        <v/>
      </c>
    </row>
    <row r="272" ht="15" customFormat="1" customHeight="1" s="380">
      <c r="A272" s="397" t="inlineStr">
        <is>
          <t>LV Retention Collected</t>
        </is>
      </c>
      <c r="B272" s="392" t="n"/>
      <c r="C272" s="392" t="n"/>
      <c r="D272" s="392" t="n"/>
      <c r="E272" s="392" t="n"/>
      <c r="F272" s="392" t="n"/>
      <c r="G272" s="392" t="n"/>
      <c r="H272" s="392" t="n"/>
      <c r="I272" s="392">
        <f>SUMIFS(Retention!$E$2:$E$44,Retention!$F$2:$F$44,I$3)</f>
        <v/>
      </c>
      <c r="J272" s="392">
        <f>SUMIFS(Retention!$E$2:$E$44,Retention!$F$2:$F$44,J$3)</f>
        <v/>
      </c>
      <c r="K272" s="392">
        <f>SUMIFS(Retention!$E$2:$E$44,Retention!$F$2:$F$44,K$3)</f>
        <v/>
      </c>
      <c r="L272" s="392">
        <f>SUMIFS(Retention!$E$2:$E$44,Retention!$F$2:$F$44,L$3)</f>
        <v/>
      </c>
      <c r="M272" s="392">
        <f>SUMIFS(Retention!$E$2:$E$44,Retention!$F$2:$F$44,M$3)</f>
        <v/>
      </c>
      <c r="N272" s="392">
        <f>SUMIFS(Retention!$E$2:$E$44,Retention!$F$2:$F$44,N$3)</f>
        <v/>
      </c>
      <c r="O272" s="392">
        <f>SUMIFS(Retention!$E$2:$E$44,Retention!$F$2:$F$44,O$3)</f>
        <v/>
      </c>
      <c r="P272" s="392">
        <f>SUMIFS(Retention!$E$2:$E$44,Retention!$F$2:$F$44,P$3)</f>
        <v/>
      </c>
      <c r="Q272" s="392">
        <f>SUMIFS(Retention!$E$2:$E$44,Retention!$F$2:$F$44,Q$3)</f>
        <v/>
      </c>
      <c r="R272" s="392">
        <f>SUMIFS(Retention!$E$2:$E$44,Retention!$F$2:$F$44,R$3)</f>
        <v/>
      </c>
      <c r="S272" s="392">
        <f>SUMIFS(Retention!$E$2:$E$44,Retention!$F$2:$F$44,S$3)</f>
        <v/>
      </c>
      <c r="T272" s="392">
        <f>SUMIFS(Retention!$E$2:$E$44,Retention!$F$2:$F$44,T$3)</f>
        <v/>
      </c>
      <c r="U272" s="392">
        <f>SUMIFS(Retention!$E$2:$E$44,Retention!$F$2:$F$44,U$3)</f>
        <v/>
      </c>
      <c r="V272" s="392">
        <f>SUMIFS(Retention!$E$2:$E$44,Retention!$F$2:$F$44,V$3)</f>
        <v/>
      </c>
      <c r="W272" s="392">
        <f>SUMIFS(Retention!$E$2:$E$44,Retention!$F$2:$F$44,W$3)</f>
        <v/>
      </c>
      <c r="X272" s="392">
        <f>SUMIFS(Retention!$E$2:$E$44,Retention!$F$2:$F$44,X$3)</f>
        <v/>
      </c>
      <c r="Y272" s="392">
        <f>SUMIFS(Retention!$E$2:$E$44,Retention!$F$2:$F$44,Y$3)</f>
        <v/>
      </c>
      <c r="Z272" s="392">
        <f>SUMIFS(Retention!$E$2:$E$44,Retention!$F$2:$F$44,Z$3)</f>
        <v/>
      </c>
      <c r="AA272" s="392">
        <f>SUMIFS(Retention!$E$2:$E$44,Retention!$F$2:$F$44,AA$3)</f>
        <v/>
      </c>
      <c r="AB272" s="392">
        <f>SUMIFS(Retention!$E$2:$E$44,Retention!$F$2:$F$44,AB$3)</f>
        <v/>
      </c>
      <c r="AC272" s="392">
        <f>SUMIFS(Retention!$E$2:$E$44,Retention!$F$2:$F$44,AC$3)</f>
        <v/>
      </c>
      <c r="AD272" s="392">
        <f>SUMIFS(Retention!$E$2:$E$44,Retention!$F$2:$F$44,AD$3)</f>
        <v/>
      </c>
      <c r="AE272" s="392">
        <f>SUMIFS(Retention!$E$2:$E$44,Retention!$F$2:$F$44,AE$3)</f>
        <v/>
      </c>
      <c r="AF272" s="392">
        <f>SUMIFS(Retention!$E$2:$E$44,Retention!$F$2:$F$44,AF$3)</f>
        <v/>
      </c>
      <c r="AG272" s="392">
        <f>SUMIFS(Retention!$E$2:$E$44,Retention!$F$2:$F$44,AG$3)</f>
        <v/>
      </c>
      <c r="AH272" s="392">
        <f>SUMIFS(Retention!$E$2:$E$44,Retention!$F$2:$F$44,AH$3)</f>
        <v/>
      </c>
      <c r="AI272" s="392">
        <f>SUMIFS(Retention!$E$2:$E$44,Retention!$F$2:$F$44,AI$3)</f>
        <v/>
      </c>
      <c r="AJ272" s="392">
        <f>SUMIFS(Retention!$E$2:$E$44,Retention!$F$2:$F$44,AJ$3)</f>
        <v/>
      </c>
      <c r="AK272" s="392">
        <f>SUMIFS(Retention!$E$2:$E$44,Retention!$F$2:$F$44,AK$3)</f>
        <v/>
      </c>
      <c r="AL272" s="392">
        <f>SUMIFS(Retention!$E$2:$E$44,Retention!$F$2:$F$44,AL$3)</f>
        <v/>
      </c>
      <c r="AM272" s="392">
        <f>SUMIFS(Retention!$E$2:$E$44,Retention!$F$2:$F$44,AM$3)</f>
        <v/>
      </c>
      <c r="AN272" s="392">
        <f>SUMIFS(Retention!$E$2:$E$44,Retention!$F$2:$F$44,AN$3)</f>
        <v/>
      </c>
      <c r="AO272" s="392">
        <f>SUMIFS(Retention!$E$2:$E$44,Retention!$F$2:$F$44,AO$3)</f>
        <v/>
      </c>
      <c r="AP272" s="392">
        <f>SUMIFS(Retention!$E$2:$E$44,Retention!$F$2:$F$44,AP$3)</f>
        <v/>
      </c>
      <c r="AQ272" s="392">
        <f>SUMIFS(Retention!$E$2:$E$44,Retention!$F$2:$F$44,AQ$3)</f>
        <v/>
      </c>
      <c r="AR272" s="392">
        <f>SUMIFS(Retention!$E$2:$E$44,Retention!$F$2:$F$44,AR$3)</f>
        <v/>
      </c>
      <c r="AS272" s="392">
        <f>SUMIFS(Retention!$E$2:$E$44,Retention!$F$2:$F$44,AS$3)</f>
        <v/>
      </c>
      <c r="AT272" s="392">
        <f>SUMIFS(Retention!$E$2:$E$44,Retention!$F$2:$F$44,AT$3)</f>
        <v/>
      </c>
      <c r="AU272" s="392">
        <f>SUMIFS(Retention!$E$2:$E$44,Retention!$F$2:$F$44,AU$3)</f>
        <v/>
      </c>
      <c r="AV272" s="392">
        <f>SUMIFS(Retention!$E$2:$E$44,Retention!$F$2:$F$44,AV$3)</f>
        <v/>
      </c>
      <c r="AW272" s="392">
        <f>SUMIFS(Retention!$E$2:$E$44,Retention!$F$2:$F$44,AW$3)</f>
        <v/>
      </c>
      <c r="AX272" s="392">
        <f>SUMIFS(Retention!$E$2:$E$44,Retention!$F$2:$F$44,AX$3)</f>
        <v/>
      </c>
      <c r="AY272" s="392">
        <f>SUMIFS(Retention!$E$2:$E$44,Retention!$F$2:$F$44,AY$3)</f>
        <v/>
      </c>
      <c r="AZ272" s="392">
        <f>SUMIFS(Retention!$E$2:$E$44,Retention!$F$2:$F$44,AZ$3)</f>
        <v/>
      </c>
      <c r="BA272" s="392">
        <f>SUMIFS(Retention!$E$2:$E$44,Retention!$F$2:$F$44,BA$3)</f>
        <v/>
      </c>
      <c r="BB272" s="392">
        <f>SUMIFS(Retention!$E$2:$E$44,Retention!$F$2:$F$44,BB$3)</f>
        <v/>
      </c>
      <c r="BC272" s="392">
        <f>SUMIFS(Retention!$E$2:$E$44,Retention!$F$2:$F$44,BC$3)</f>
        <v/>
      </c>
      <c r="BD272" s="392">
        <f>SUMIFS(Retention!$E$2:$E$44,Retention!$F$2:$F$44,BD$3)</f>
        <v/>
      </c>
      <c r="BE272" s="392">
        <f>SUMIFS(Retention!$E$2:$E$44,Retention!$F$2:$F$44,BE$3)</f>
        <v/>
      </c>
      <c r="BF272" s="392">
        <f>SUMIFS(Retention!$E$2:$E$44,Retention!$F$2:$F$44,BF$3)</f>
        <v/>
      </c>
      <c r="BG272" s="392">
        <f>SUMIFS(Retention!$E$2:$E$44,Retention!$F$2:$F$44,BG$3)</f>
        <v/>
      </c>
      <c r="BH272" s="392">
        <f>SUMIFS(Retention!$E$2:$E$44,Retention!$F$2:$F$44,BH$3)</f>
        <v/>
      </c>
      <c r="BI272" s="392">
        <f>SUMIFS(Retention!$E$2:$E$44,Retention!$F$2:$F$44,BI$3)</f>
        <v/>
      </c>
      <c r="BJ272" s="392">
        <f>SUMIFS(Retention!$E$2:$E$44,Retention!$F$2:$F$44,BJ$3)</f>
        <v/>
      </c>
      <c r="BK272" s="392">
        <f>SUMIFS(Retention!$E$2:$E$44,Retention!$F$2:$F$44,BK$3)</f>
        <v/>
      </c>
      <c r="BL272" s="392">
        <f>SUMIFS(Retention!$E$2:$E$44,Retention!$F$2:$F$44,BL$3)</f>
        <v/>
      </c>
      <c r="BM272" s="392">
        <f>SUMIFS(Retention!$E$2:$E$44,Retention!$F$2:$F$44,BM$3)</f>
        <v/>
      </c>
      <c r="BN272" s="392">
        <f>SUMIFS(Retention!$E$2:$E$44,Retention!$F$2:$F$44,BN$3)</f>
        <v/>
      </c>
      <c r="BO272" s="392">
        <f>SUMIFS(Retention!$E$2:$E$44,Retention!$F$2:$F$44,BO$3)</f>
        <v/>
      </c>
      <c r="BP272" s="392">
        <f>SUMIFS(Retention!$E$2:$E$44,Retention!$F$2:$F$44,BP$3)</f>
        <v/>
      </c>
      <c r="BQ272" s="392">
        <f>SUMIFS(Retention!$E$2:$E$44,Retention!$F$2:$F$44,BQ$3)</f>
        <v/>
      </c>
      <c r="BR272" s="392">
        <f>SUMIFS(Retention!$E$2:$E$44,Retention!$F$2:$F$44,BR$3)</f>
        <v/>
      </c>
      <c r="BS272" s="392">
        <f>SUMIFS(Retention!$E$2:$E$44,Retention!$F$2:$F$44,BS$3)</f>
        <v/>
      </c>
      <c r="BT272" s="392">
        <f>SUMIFS(Retention!$E$2:$E$44,Retention!$F$2:$F$44,BT$3)</f>
        <v/>
      </c>
      <c r="BU272" s="392">
        <f>SUMIFS(Retention!$E$2:$E$44,Retention!$F$2:$F$44,BU$3)</f>
        <v/>
      </c>
      <c r="BV272" s="392">
        <f>SUMIFS(Retention!$E$2:$E$44,Retention!$F$2:$F$44,BV$3)</f>
        <v/>
      </c>
      <c r="BW272" s="392">
        <f>SUMIFS(Retention!$E$2:$E$44,Retention!$F$2:$F$44,BW$3)</f>
        <v/>
      </c>
      <c r="BX272" s="392">
        <f>SUMIFS(Retention!$E$2:$E$44,Retention!$F$2:$F$44,BX$3)</f>
        <v/>
      </c>
      <c r="BY272" s="392">
        <f>SUMIFS(Retention!$E$2:$E$44,Retention!$F$2:$F$44,BY$3)</f>
        <v/>
      </c>
      <c r="BZ272" s="392">
        <f>SUMIFS(Retention!$E$2:$E$44,Retention!$F$2:$F$44,BZ$3)</f>
        <v/>
      </c>
      <c r="CA272" s="392">
        <f>SUMIFS(Retention!$E$2:$E$44,Retention!$F$2:$F$44,CA$3)</f>
        <v/>
      </c>
      <c r="CB272" s="392">
        <f>SUMIFS(Retention!$E$2:$E$44,Retention!$F$2:$F$44,CB$3)</f>
        <v/>
      </c>
      <c r="CC272" s="392">
        <f>SUMIFS(Retention!$E$2:$E$44,Retention!$F$2:$F$44,CC$3)</f>
        <v/>
      </c>
      <c r="CD272" s="392">
        <f>SUMIFS(Retention!$E$2:$E$44,Retention!$F$2:$F$44,CD$3)</f>
        <v/>
      </c>
      <c r="CE272" s="392">
        <f>SUMIFS(Retention!$E$2:$E$44,Retention!$F$2:$F$44,CE$3)</f>
        <v/>
      </c>
      <c r="CF272" s="392">
        <f>SUMIFS(Retention!$E$2:$E$44,Retention!$F$2:$F$44,CF$3)</f>
        <v/>
      </c>
      <c r="CG272" s="392">
        <f>SUMIFS(Retention!$E$2:$E$44,Retention!$F$2:$F$44,CG$3)</f>
        <v/>
      </c>
      <c r="CH272" s="392">
        <f>SUMIFS(Retention!$E$2:$E$44,Retention!$F$2:$F$44,CH$3)</f>
        <v/>
      </c>
      <c r="CI272" s="392">
        <f>SUMIFS(Retention!$E$2:$E$44,Retention!$F$2:$F$44,CI$3)</f>
        <v/>
      </c>
      <c r="CJ272" s="392">
        <f>SUMIFS(Retention!$E$2:$E$44,Retention!$F$2:$F$44,CJ$3)</f>
        <v/>
      </c>
      <c r="CK272" s="392">
        <f>SUMIFS(Retention!$E$2:$E$44,Retention!$F$2:$F$44,CK$3)</f>
        <v/>
      </c>
      <c r="CL272" s="392">
        <f>SUMIFS(Retention!$E$2:$E$44,Retention!$F$2:$F$44,CL$3)</f>
        <v/>
      </c>
      <c r="CM272" s="392">
        <f>SUMIFS(Retention!$E$2:$E$44,Retention!$F$2:$F$44,CM$3)</f>
        <v/>
      </c>
      <c r="CN272" s="392">
        <f>SUMIFS(Retention!$E$2:$E$44,Retention!$F$2:$F$44,CN$3)</f>
        <v/>
      </c>
      <c r="CO272" s="392">
        <f>SUMIFS(Retention!$E$2:$E$44,Retention!$F$2:$F$44,CO$3)</f>
        <v/>
      </c>
      <c r="CP272" s="392">
        <f>SUMIFS(Retention!$E$2:$E$44,Retention!$F$2:$F$44,CP$3)</f>
        <v/>
      </c>
      <c r="CQ272" s="392">
        <f>SUMIFS(Retention!$E$2:$E$44,Retention!$F$2:$F$44,CQ$3)</f>
        <v/>
      </c>
      <c r="CR272" s="392">
        <f>SUMIFS(Retention!$E$2:$E$44,Retention!$F$2:$F$44,CR$3)</f>
        <v/>
      </c>
      <c r="CS272" s="392">
        <f>SUMIFS(Retention!$E$2:$E$44,Retention!$F$2:$F$44,CS$3)</f>
        <v/>
      </c>
      <c r="CT272" s="392">
        <f>SUMIFS(Retention!$E$2:$E$44,Retention!$F$2:$F$44,CT$3)</f>
        <v/>
      </c>
      <c r="CU272" s="392">
        <f>SUMIFS(Retention!$E$2:$E$44,Retention!$F$2:$F$44,CU$3)</f>
        <v/>
      </c>
      <c r="CV272" s="392">
        <f>SUMIFS(Retention!$E$2:$E$44,Retention!$F$2:$F$44,CV$3)</f>
        <v/>
      </c>
      <c r="CW272" s="392">
        <f>SUMIFS(Retention!$E$2:$E$44,Retention!$F$2:$F$44,CW$3)</f>
        <v/>
      </c>
      <c r="CX272" s="392">
        <f>SUMIFS(Retention!$E$2:$E$44,Retention!$F$2:$F$44,CX$3)</f>
        <v/>
      </c>
      <c r="CY272" s="392">
        <f>SUMIFS(Retention!$E$2:$E$44,Retention!$F$2:$F$44,CY$3)</f>
        <v/>
      </c>
      <c r="CZ272" s="392">
        <f>SUMIFS(Retention!$E$2:$E$44,Retention!$F$2:$F$44,CZ$3)</f>
        <v/>
      </c>
      <c r="DA272" s="392">
        <f>SUMIFS(Retention!$E$2:$E$44,Retention!$F$2:$F$44,DA$3)</f>
        <v/>
      </c>
      <c r="DB272" s="392">
        <f>SUMIFS(Retention!$E$2:$E$44,Retention!$F$2:$F$44,DB$3)</f>
        <v/>
      </c>
      <c r="DC272" s="392">
        <f>SUMIFS(Retention!$E$2:$E$44,Retention!$F$2:$F$44,DC$3)</f>
        <v/>
      </c>
      <c r="DD272" s="392">
        <f>SUMIFS(Retention!$E$2:$E$44,Retention!$F$2:$F$44,DD$3)</f>
        <v/>
      </c>
      <c r="DE272" s="392">
        <f>SUMIFS(Retention!$E$2:$E$44,Retention!$F$2:$F$44,DE$3)</f>
        <v/>
      </c>
    </row>
    <row r="273" ht="15" customFormat="1" customHeight="1" s="380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Format="1" customHeight="1" s="380">
      <c r="A274" s="382" t="n"/>
      <c r="B274" s="392" t="n"/>
      <c r="C274" s="392" t="n"/>
      <c r="D274" s="392" t="n"/>
      <c r="E274" s="392" t="n"/>
      <c r="F274" s="392" t="n"/>
      <c r="G274" s="392" t="n"/>
      <c r="H274" s="392" t="n"/>
      <c r="I274" s="392" t="n"/>
      <c r="J274" s="392" t="n"/>
      <c r="K274" s="392" t="n"/>
      <c r="L274" s="392" t="n"/>
      <c r="M274" s="392" t="n"/>
      <c r="N274" s="392" t="n"/>
      <c r="O274" s="392" t="n"/>
      <c r="P274" s="392" t="n"/>
      <c r="Q274" s="392" t="n"/>
      <c r="R274" s="392" t="n"/>
      <c r="S274" s="392" t="n"/>
      <c r="T274" s="392" t="n"/>
      <c r="U274" s="392" t="n"/>
      <c r="V274" s="392" t="n"/>
      <c r="W274" s="392" t="n"/>
      <c r="X274" s="392" t="n"/>
      <c r="Y274" s="392" t="n"/>
      <c r="Z274" s="392" t="n"/>
      <c r="AA274" s="392" t="n"/>
      <c r="AB274" s="392" t="n"/>
      <c r="AC274" s="392" t="n"/>
      <c r="AD274" s="392" t="n"/>
      <c r="AE274" s="392" t="n"/>
      <c r="AF274" s="392" t="n"/>
      <c r="AG274" s="392" t="n"/>
      <c r="AH274" s="392" t="n"/>
      <c r="AI274" s="392" t="n"/>
      <c r="AJ274" s="392" t="n"/>
      <c r="AK274" s="392" t="n"/>
      <c r="AL274" s="392" t="n"/>
      <c r="AM274" s="392" t="n"/>
      <c r="AN274" s="392" t="n"/>
      <c r="AO274" s="392" t="n"/>
      <c r="AP274" s="392" t="n"/>
      <c r="AQ274" s="392" t="n"/>
      <c r="AR274" s="392" t="n"/>
      <c r="AS274" s="392" t="n"/>
      <c r="AT274" s="392" t="n"/>
      <c r="AU274" s="392" t="n"/>
      <c r="AV274" s="392" t="n"/>
      <c r="AW274" s="392" t="n"/>
      <c r="AX274" s="392" t="n"/>
      <c r="AY274" s="392" t="n"/>
      <c r="AZ274" s="392" t="n"/>
      <c r="BA274" s="392" t="n"/>
      <c r="BB274" s="392" t="n"/>
      <c r="BC274" s="392" t="n"/>
      <c r="BD274" s="392" t="n"/>
      <c r="BE274" s="392" t="n"/>
      <c r="BF274" s="392" t="n"/>
      <c r="BG274" s="392" t="n"/>
      <c r="BH274" s="392" t="n"/>
      <c r="BI274" s="392" t="n"/>
      <c r="BJ274" s="392" t="n"/>
      <c r="BK274" s="392" t="n"/>
      <c r="BL274" s="392" t="n"/>
      <c r="BM274" s="392" t="n"/>
      <c r="BN274" s="392" t="n"/>
      <c r="BO274" s="392" t="n"/>
      <c r="BP274" s="392" t="n"/>
      <c r="BQ274" s="392" t="n"/>
      <c r="BR274" s="392" t="n"/>
      <c r="BS274" s="392" t="n"/>
      <c r="BT274" s="392" t="n"/>
      <c r="BU274" s="392" t="n"/>
      <c r="BV274" s="392" t="n"/>
      <c r="BW274" s="392" t="n"/>
      <c r="BX274" s="392" t="n"/>
      <c r="BY274" s="392" t="n"/>
      <c r="BZ274" s="392" t="n"/>
      <c r="CA274" s="392" t="n"/>
      <c r="CB274" s="392" t="n"/>
      <c r="CC274" s="392" t="n"/>
      <c r="CD274" s="392" t="n"/>
      <c r="CE274" s="392" t="n"/>
      <c r="CF274" s="392" t="n"/>
      <c r="CG274" s="392" t="n"/>
      <c r="CH274" s="392" t="n"/>
      <c r="CI274" s="392" t="n"/>
      <c r="CJ274" s="392" t="n"/>
      <c r="CK274" s="392" t="n"/>
      <c r="CL274" s="392" t="n"/>
      <c r="CM274" s="392" t="n"/>
      <c r="CN274" s="392" t="n"/>
      <c r="CO274" s="392" t="n"/>
      <c r="CP274" s="392" t="n"/>
      <c r="CQ274" s="392" t="n"/>
      <c r="CR274" s="392" t="n"/>
      <c r="CS274" s="392" t="n"/>
      <c r="CT274" s="392" t="n"/>
      <c r="CU274" s="392" t="n"/>
      <c r="CV274" s="392" t="n"/>
      <c r="CW274" s="392" t="n"/>
      <c r="CX274" s="392" t="n"/>
      <c r="CY274" s="392" t="n"/>
      <c r="CZ274" s="392" t="n"/>
      <c r="DA274" s="392" t="n"/>
      <c r="DB274" s="392" t="n"/>
      <c r="DC274" s="392" t="n"/>
      <c r="DD274" s="392" t="n"/>
      <c r="DE274" s="392" t="n"/>
    </row>
    <row r="275" ht="15" customFormat="1" customHeight="1" s="380">
      <c r="A275" s="402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Format="1" customHeight="1" s="380">
      <c r="A276" s="397" t="inlineStr">
        <is>
          <t>SP Beginning Cash</t>
        </is>
      </c>
      <c r="B276" s="392" t="n"/>
      <c r="C276" s="392" t="n"/>
      <c r="D276" s="392" t="n"/>
      <c r="E276" s="392" t="n"/>
      <c r="F276" s="392" t="n"/>
      <c r="G276" s="392" t="n"/>
      <c r="H276" s="392" t="n"/>
      <c r="I276" s="392">
        <f>Assumptions!B30</f>
        <v/>
      </c>
      <c r="J276" s="392">
        <f>I281</f>
        <v/>
      </c>
      <c r="K276" s="392">
        <f>J281</f>
        <v/>
      </c>
      <c r="L276" s="392">
        <f>K281</f>
        <v/>
      </c>
      <c r="M276" s="392">
        <f>L281</f>
        <v/>
      </c>
      <c r="N276" s="392">
        <f>M281</f>
        <v/>
      </c>
      <c r="O276" s="392">
        <f>N281</f>
        <v/>
      </c>
      <c r="P276" s="392">
        <f>O281</f>
        <v/>
      </c>
      <c r="Q276" s="392">
        <f>P281</f>
        <v/>
      </c>
      <c r="R276" s="392">
        <f>Q281</f>
        <v/>
      </c>
      <c r="S276" s="392">
        <f>R281</f>
        <v/>
      </c>
      <c r="T276" s="392">
        <f>S281</f>
        <v/>
      </c>
      <c r="U276" s="392">
        <f>T281</f>
        <v/>
      </c>
      <c r="V276" s="392">
        <f>U281</f>
        <v/>
      </c>
      <c r="W276" s="392">
        <f>V281</f>
        <v/>
      </c>
      <c r="X276" s="392">
        <f>W281</f>
        <v/>
      </c>
      <c r="Y276" s="392">
        <f>X281</f>
        <v/>
      </c>
      <c r="Z276" s="392">
        <f>Y281</f>
        <v/>
      </c>
      <c r="AA276" s="392">
        <f>Z281</f>
        <v/>
      </c>
      <c r="AB276" s="392">
        <f>AA281</f>
        <v/>
      </c>
      <c r="AC276" s="392">
        <f>AB281</f>
        <v/>
      </c>
      <c r="AD276" s="392">
        <f>AC281</f>
        <v/>
      </c>
      <c r="AE276" s="392">
        <f>AD281</f>
        <v/>
      </c>
      <c r="AF276" s="392">
        <f>AE281</f>
        <v/>
      </c>
      <c r="AG276" s="392">
        <f>AF281</f>
        <v/>
      </c>
      <c r="AH276" s="392">
        <f>AG281</f>
        <v/>
      </c>
      <c r="AI276" s="392">
        <f>AH281</f>
        <v/>
      </c>
      <c r="AJ276" s="392">
        <f>AI281</f>
        <v/>
      </c>
      <c r="AK276" s="392">
        <f>AJ281</f>
        <v/>
      </c>
      <c r="AL276" s="392">
        <f>AK281</f>
        <v/>
      </c>
      <c r="AM276" s="392">
        <f>AL281</f>
        <v/>
      </c>
      <c r="AN276" s="392">
        <f>AM281</f>
        <v/>
      </c>
      <c r="AO276" s="392">
        <f>AN281</f>
        <v/>
      </c>
      <c r="AP276" s="392">
        <f>AO281</f>
        <v/>
      </c>
      <c r="AQ276" s="392">
        <f>AP281</f>
        <v/>
      </c>
      <c r="AR276" s="392">
        <f>AQ281</f>
        <v/>
      </c>
      <c r="AS276" s="392">
        <f>AR281</f>
        <v/>
      </c>
      <c r="AT276" s="392">
        <f>AS281</f>
        <v/>
      </c>
      <c r="AU276" s="392">
        <f>AT281</f>
        <v/>
      </c>
      <c r="AV276" s="392">
        <f>AU281</f>
        <v/>
      </c>
      <c r="AW276" s="392">
        <f>AV281</f>
        <v/>
      </c>
      <c r="AX276" s="392">
        <f>AW281</f>
        <v/>
      </c>
      <c r="AY276" s="392">
        <f>AX281</f>
        <v/>
      </c>
      <c r="AZ276" s="392">
        <f>AY281</f>
        <v/>
      </c>
      <c r="BA276" s="392">
        <f>AZ281</f>
        <v/>
      </c>
      <c r="BB276" s="392">
        <f>BA281</f>
        <v/>
      </c>
      <c r="BC276" s="392">
        <f>BB281</f>
        <v/>
      </c>
      <c r="BD276" s="392">
        <f>BC281</f>
        <v/>
      </c>
      <c r="BE276" s="392">
        <f>BD281</f>
        <v/>
      </c>
      <c r="BF276" s="392">
        <f>BE281</f>
        <v/>
      </c>
      <c r="BG276" s="392">
        <f>BF281</f>
        <v/>
      </c>
      <c r="BH276" s="392">
        <f>BG281</f>
        <v/>
      </c>
      <c r="BI276" s="392">
        <f>BH281</f>
        <v/>
      </c>
      <c r="BJ276" s="392">
        <f>BI281</f>
        <v/>
      </c>
      <c r="BK276" s="392">
        <f>BJ281</f>
        <v/>
      </c>
      <c r="BL276" s="392">
        <f>BK281</f>
        <v/>
      </c>
      <c r="BM276" s="392">
        <f>BL281</f>
        <v/>
      </c>
      <c r="BN276" s="392">
        <f>BM281</f>
        <v/>
      </c>
      <c r="BO276" s="392">
        <f>BN281</f>
        <v/>
      </c>
      <c r="BP276" s="392">
        <f>BO281</f>
        <v/>
      </c>
      <c r="BQ276" s="392">
        <f>BP281</f>
        <v/>
      </c>
      <c r="BR276" s="392">
        <f>BQ281</f>
        <v/>
      </c>
      <c r="BS276" s="392">
        <f>BR281</f>
        <v/>
      </c>
      <c r="BT276" s="392">
        <f>BS281</f>
        <v/>
      </c>
      <c r="BU276" s="392">
        <f>BT281</f>
        <v/>
      </c>
      <c r="BV276" s="392">
        <f>BU281</f>
        <v/>
      </c>
      <c r="BW276" s="392">
        <f>BV281</f>
        <v/>
      </c>
      <c r="BX276" s="392">
        <f>BW281</f>
        <v/>
      </c>
      <c r="BY276" s="392">
        <f>BX281</f>
        <v/>
      </c>
      <c r="BZ276" s="392">
        <f>BY281</f>
        <v/>
      </c>
      <c r="CA276" s="392">
        <f>BZ281</f>
        <v/>
      </c>
      <c r="CB276" s="392">
        <f>CA281</f>
        <v/>
      </c>
      <c r="CC276" s="392">
        <f>CB281</f>
        <v/>
      </c>
      <c r="CD276" s="392">
        <f>CC281</f>
        <v/>
      </c>
      <c r="CE276" s="392">
        <f>CD281</f>
        <v/>
      </c>
      <c r="CF276" s="392">
        <f>CE281</f>
        <v/>
      </c>
      <c r="CG276" s="392">
        <f>CF281</f>
        <v/>
      </c>
      <c r="CH276" s="392">
        <f>CG281</f>
        <v/>
      </c>
      <c r="CI276" s="392">
        <f>CH281</f>
        <v/>
      </c>
      <c r="CJ276" s="392">
        <f>CI281</f>
        <v/>
      </c>
      <c r="CK276" s="392">
        <f>CJ281</f>
        <v/>
      </c>
      <c r="CL276" s="392">
        <f>CK281</f>
        <v/>
      </c>
      <c r="CM276" s="392">
        <f>CL281</f>
        <v/>
      </c>
      <c r="CN276" s="392">
        <f>CM281</f>
        <v/>
      </c>
      <c r="CO276" s="392">
        <f>CN281</f>
        <v/>
      </c>
      <c r="CP276" s="392">
        <f>CO281</f>
        <v/>
      </c>
      <c r="CQ276" s="392">
        <f>CP281</f>
        <v/>
      </c>
      <c r="CR276" s="392">
        <f>CQ281</f>
        <v/>
      </c>
      <c r="CS276" s="392">
        <f>CR281</f>
        <v/>
      </c>
      <c r="CT276" s="392">
        <f>CS281</f>
        <v/>
      </c>
      <c r="CU276" s="392">
        <f>CT281</f>
        <v/>
      </c>
      <c r="CV276" s="392">
        <f>CU281</f>
        <v/>
      </c>
      <c r="CW276" s="392">
        <f>CV281</f>
        <v/>
      </c>
      <c r="CX276" s="392">
        <f>CW281</f>
        <v/>
      </c>
      <c r="CY276" s="392">
        <f>CX281</f>
        <v/>
      </c>
      <c r="CZ276" s="392">
        <f>CY281</f>
        <v/>
      </c>
      <c r="DA276" s="392">
        <f>CZ281</f>
        <v/>
      </c>
      <c r="DB276" s="392">
        <f>DA281</f>
        <v/>
      </c>
      <c r="DC276" s="392">
        <f>DB281</f>
        <v/>
      </c>
      <c r="DD276" s="392">
        <f>DC281</f>
        <v/>
      </c>
      <c r="DE276" s="392">
        <f>DD281</f>
        <v/>
      </c>
    </row>
    <row r="277" ht="15" customFormat="1" customHeight="1" s="380">
      <c r="A277" s="397" t="inlineStr">
        <is>
          <t>SP Net Cash Flow (excl. non-cash revenue)</t>
        </is>
      </c>
      <c r="B277" s="392" t="n"/>
      <c r="C277" s="392" t="n"/>
      <c r="D277" s="392" t="n"/>
      <c r="E277" s="392" t="n"/>
      <c r="F277" s="392" t="n"/>
      <c r="G277" s="392" t="n"/>
      <c r="H277" s="392" t="n"/>
      <c r="I277" s="392">
        <f>I203</f>
        <v/>
      </c>
      <c r="J277" s="392">
        <f>J203</f>
        <v/>
      </c>
      <c r="K277" s="392">
        <f>K203</f>
        <v/>
      </c>
      <c r="L277" s="392">
        <f>L203</f>
        <v/>
      </c>
      <c r="M277" s="392">
        <f>M203</f>
        <v/>
      </c>
      <c r="N277" s="392">
        <f>N203</f>
        <v/>
      </c>
      <c r="O277" s="392">
        <f>O203</f>
        <v/>
      </c>
      <c r="P277" s="392">
        <f>P203</f>
        <v/>
      </c>
      <c r="Q277" s="392">
        <f>Q203</f>
        <v/>
      </c>
      <c r="R277" s="392">
        <f>R203</f>
        <v/>
      </c>
      <c r="S277" s="392">
        <f>S203</f>
        <v/>
      </c>
      <c r="T277" s="392">
        <f>T203</f>
        <v/>
      </c>
      <c r="U277" s="392">
        <f>U203</f>
        <v/>
      </c>
      <c r="V277" s="392">
        <f>V203</f>
        <v/>
      </c>
      <c r="W277" s="392">
        <f>W203</f>
        <v/>
      </c>
      <c r="X277" s="392">
        <f>X203</f>
        <v/>
      </c>
      <c r="Y277" s="392">
        <f>Y203</f>
        <v/>
      </c>
      <c r="Z277" s="392">
        <f>Z203</f>
        <v/>
      </c>
      <c r="AA277" s="392">
        <f>AA203</f>
        <v/>
      </c>
      <c r="AB277" s="392">
        <f>AB203</f>
        <v/>
      </c>
      <c r="AC277" s="392">
        <f>AC203</f>
        <v/>
      </c>
      <c r="AD277" s="392">
        <f>AD203</f>
        <v/>
      </c>
      <c r="AE277" s="392">
        <f>AE203</f>
        <v/>
      </c>
      <c r="AF277" s="392">
        <f>AF203</f>
        <v/>
      </c>
      <c r="AG277" s="392">
        <f>AG203</f>
        <v/>
      </c>
      <c r="AH277" s="392">
        <f>AH203</f>
        <v/>
      </c>
      <c r="AI277" s="392">
        <f>AI203</f>
        <v/>
      </c>
      <c r="AJ277" s="392">
        <f>AJ203</f>
        <v/>
      </c>
      <c r="AK277" s="392">
        <f>AK203</f>
        <v/>
      </c>
      <c r="AL277" s="392">
        <f>AL203</f>
        <v/>
      </c>
      <c r="AM277" s="392">
        <f>AM203</f>
        <v/>
      </c>
      <c r="AN277" s="392">
        <f>AN203</f>
        <v/>
      </c>
      <c r="AO277" s="392">
        <f>AO203</f>
        <v/>
      </c>
      <c r="AP277" s="392">
        <f>AP203</f>
        <v/>
      </c>
      <c r="AQ277" s="392">
        <f>AQ203</f>
        <v/>
      </c>
      <c r="AR277" s="392">
        <f>AR203</f>
        <v/>
      </c>
      <c r="AS277" s="392">
        <f>AS203</f>
        <v/>
      </c>
      <c r="AT277" s="392">
        <f>AT203</f>
        <v/>
      </c>
      <c r="AU277" s="392">
        <f>AU203</f>
        <v/>
      </c>
      <c r="AV277" s="392">
        <f>AV203</f>
        <v/>
      </c>
      <c r="AW277" s="392">
        <f>AW203</f>
        <v/>
      </c>
      <c r="AX277" s="392">
        <f>AX203</f>
        <v/>
      </c>
      <c r="AY277" s="392">
        <f>AY203</f>
        <v/>
      </c>
      <c r="AZ277" s="392">
        <f>AZ203</f>
        <v/>
      </c>
      <c r="BA277" s="392">
        <f>BA203</f>
        <v/>
      </c>
      <c r="BB277" s="392">
        <f>BB203</f>
        <v/>
      </c>
      <c r="BC277" s="392">
        <f>BC203</f>
        <v/>
      </c>
      <c r="BD277" s="392">
        <f>BD203</f>
        <v/>
      </c>
      <c r="BE277" s="392">
        <f>BE203</f>
        <v/>
      </c>
      <c r="BF277" s="392">
        <f>BF203</f>
        <v/>
      </c>
      <c r="BG277" s="392">
        <f>BG203</f>
        <v/>
      </c>
      <c r="BH277" s="392">
        <f>BH203</f>
        <v/>
      </c>
      <c r="BI277" s="392">
        <f>BI203</f>
        <v/>
      </c>
      <c r="BJ277" s="392">
        <f>BJ203</f>
        <v/>
      </c>
      <c r="BK277" s="392">
        <f>BK203</f>
        <v/>
      </c>
      <c r="BL277" s="392">
        <f>BL203</f>
        <v/>
      </c>
      <c r="BM277" s="392">
        <f>BM203</f>
        <v/>
      </c>
      <c r="BN277" s="392">
        <f>BN203</f>
        <v/>
      </c>
      <c r="BO277" s="392">
        <f>BO203</f>
        <v/>
      </c>
      <c r="BP277" s="392">
        <f>BP203</f>
        <v/>
      </c>
      <c r="BQ277" s="392">
        <f>BQ203</f>
        <v/>
      </c>
      <c r="BR277" s="392">
        <f>BR203</f>
        <v/>
      </c>
      <c r="BS277" s="392">
        <f>BS203</f>
        <v/>
      </c>
      <c r="BT277" s="392">
        <f>BT203</f>
        <v/>
      </c>
      <c r="BU277" s="392">
        <f>BU203</f>
        <v/>
      </c>
      <c r="BV277" s="392">
        <f>BV203</f>
        <v/>
      </c>
      <c r="BW277" s="392">
        <f>BW203</f>
        <v/>
      </c>
      <c r="BX277" s="392">
        <f>BX203</f>
        <v/>
      </c>
      <c r="BY277" s="392">
        <f>BY203</f>
        <v/>
      </c>
      <c r="BZ277" s="392">
        <f>BZ203</f>
        <v/>
      </c>
      <c r="CA277" s="392">
        <f>CA203</f>
        <v/>
      </c>
      <c r="CB277" s="392">
        <f>CB203</f>
        <v/>
      </c>
      <c r="CC277" s="392">
        <f>CC203</f>
        <v/>
      </c>
      <c r="CD277" s="392">
        <f>CD203</f>
        <v/>
      </c>
      <c r="CE277" s="392">
        <f>CE203</f>
        <v/>
      </c>
      <c r="CF277" s="392">
        <f>CF203</f>
        <v/>
      </c>
      <c r="CG277" s="392">
        <f>CG203</f>
        <v/>
      </c>
      <c r="CH277" s="392">
        <f>CH203</f>
        <v/>
      </c>
      <c r="CI277" s="392">
        <f>CI203</f>
        <v/>
      </c>
      <c r="CJ277" s="392">
        <f>CJ203</f>
        <v/>
      </c>
      <c r="CK277" s="392">
        <f>CK203</f>
        <v/>
      </c>
      <c r="CL277" s="392">
        <f>CL203</f>
        <v/>
      </c>
      <c r="CM277" s="392">
        <f>CM203</f>
        <v/>
      </c>
      <c r="CN277" s="392">
        <f>CN203</f>
        <v/>
      </c>
      <c r="CO277" s="392">
        <f>CO203</f>
        <v/>
      </c>
      <c r="CP277" s="392">
        <f>CP203</f>
        <v/>
      </c>
      <c r="CQ277" s="392">
        <f>CQ203</f>
        <v/>
      </c>
      <c r="CR277" s="392">
        <f>CR203</f>
        <v/>
      </c>
      <c r="CS277" s="392">
        <f>CS203</f>
        <v/>
      </c>
      <c r="CT277" s="392">
        <f>CT203</f>
        <v/>
      </c>
      <c r="CU277" s="392">
        <f>CU203</f>
        <v/>
      </c>
      <c r="CV277" s="392">
        <f>CV203</f>
        <v/>
      </c>
      <c r="CW277" s="392">
        <f>CW203</f>
        <v/>
      </c>
      <c r="CX277" s="392">
        <f>CX203</f>
        <v/>
      </c>
      <c r="CY277" s="392">
        <f>CY203</f>
        <v/>
      </c>
      <c r="CZ277" s="392">
        <f>CZ203</f>
        <v/>
      </c>
      <c r="DA277" s="392">
        <f>DA203</f>
        <v/>
      </c>
      <c r="DB277" s="392">
        <f>DB203</f>
        <v/>
      </c>
      <c r="DC277" s="392">
        <f>DC203</f>
        <v/>
      </c>
      <c r="DD277" s="392">
        <f>DD203</f>
        <v/>
      </c>
      <c r="DE277" s="392">
        <f>DE203</f>
        <v/>
      </c>
    </row>
    <row r="278" ht="15" customFormat="1" customHeight="1" s="380">
      <c r="A278" s="397" t="inlineStr">
        <is>
          <t>Debt Facility Payment</t>
        </is>
      </c>
      <c r="B278" s="392" t="n"/>
      <c r="C278" s="392" t="n"/>
      <c r="D278" s="392" t="n"/>
      <c r="E278" s="392" t="n"/>
      <c r="F278" s="392" t="n"/>
      <c r="G278" s="392" t="n"/>
      <c r="H278" s="392" t="n"/>
      <c r="I278" s="392">
        <f>I220</f>
        <v/>
      </c>
      <c r="J278" s="392">
        <f>J220</f>
        <v/>
      </c>
      <c r="K278" s="392">
        <f>K220</f>
        <v/>
      </c>
      <c r="L278" s="392">
        <f>L220</f>
        <v/>
      </c>
      <c r="M278" s="392">
        <f>M220</f>
        <v/>
      </c>
      <c r="N278" s="392">
        <f>N220</f>
        <v/>
      </c>
      <c r="O278" s="392">
        <f>O220</f>
        <v/>
      </c>
      <c r="P278" s="392">
        <f>P220</f>
        <v/>
      </c>
      <c r="Q278" s="392">
        <f>Q220</f>
        <v/>
      </c>
      <c r="R278" s="392">
        <f>R220</f>
        <v/>
      </c>
      <c r="S278" s="392">
        <f>S220</f>
        <v/>
      </c>
      <c r="T278" s="392">
        <f>T220</f>
        <v/>
      </c>
      <c r="U278" s="392">
        <f>U220</f>
        <v/>
      </c>
      <c r="V278" s="392">
        <f>V220</f>
        <v/>
      </c>
      <c r="W278" s="392">
        <f>W220</f>
        <v/>
      </c>
      <c r="X278" s="392">
        <f>X220</f>
        <v/>
      </c>
      <c r="Y278" s="392">
        <f>Y220</f>
        <v/>
      </c>
      <c r="Z278" s="392">
        <f>Z220</f>
        <v/>
      </c>
      <c r="AA278" s="392">
        <f>AA220</f>
        <v/>
      </c>
      <c r="AB278" s="392">
        <f>AB220</f>
        <v/>
      </c>
      <c r="AC278" s="392">
        <f>AC220</f>
        <v/>
      </c>
      <c r="AD278" s="392">
        <f>AD220</f>
        <v/>
      </c>
      <c r="AE278" s="392">
        <f>AE220</f>
        <v/>
      </c>
      <c r="AF278" s="392">
        <f>AF220</f>
        <v/>
      </c>
      <c r="AG278" s="392">
        <f>AG220</f>
        <v/>
      </c>
      <c r="AH278" s="392">
        <f>AH220</f>
        <v/>
      </c>
      <c r="AI278" s="392">
        <f>AI220</f>
        <v/>
      </c>
      <c r="AJ278" s="392">
        <f>AJ220</f>
        <v/>
      </c>
      <c r="AK278" s="392">
        <f>AK220</f>
        <v/>
      </c>
      <c r="AL278" s="392">
        <f>AL220</f>
        <v/>
      </c>
      <c r="AM278" s="392">
        <f>AM220</f>
        <v/>
      </c>
      <c r="AN278" s="392">
        <f>AN220</f>
        <v/>
      </c>
      <c r="AO278" s="392">
        <f>AO220</f>
        <v/>
      </c>
      <c r="AP278" s="392">
        <f>AP220</f>
        <v/>
      </c>
      <c r="AQ278" s="392">
        <f>AQ220</f>
        <v/>
      </c>
      <c r="AR278" s="392">
        <f>AR220</f>
        <v/>
      </c>
      <c r="AS278" s="392">
        <f>AS220</f>
        <v/>
      </c>
      <c r="AT278" s="392">
        <f>AT220</f>
        <v/>
      </c>
      <c r="AU278" s="392">
        <f>AU220</f>
        <v/>
      </c>
      <c r="AV278" s="392">
        <f>AV220</f>
        <v/>
      </c>
      <c r="AW278" s="392">
        <f>AW220</f>
        <v/>
      </c>
      <c r="AX278" s="392">
        <f>AX220</f>
        <v/>
      </c>
      <c r="AY278" s="392">
        <f>AY220</f>
        <v/>
      </c>
      <c r="AZ278" s="392">
        <f>AZ220</f>
        <v/>
      </c>
      <c r="BA278" s="392">
        <f>BA220</f>
        <v/>
      </c>
      <c r="BB278" s="392">
        <f>BB220</f>
        <v/>
      </c>
      <c r="BC278" s="392">
        <f>BC220</f>
        <v/>
      </c>
      <c r="BD278" s="392">
        <f>BD220</f>
        <v/>
      </c>
      <c r="BE278" s="392">
        <f>BE220</f>
        <v/>
      </c>
      <c r="BF278" s="392">
        <f>BF220</f>
        <v/>
      </c>
      <c r="BG278" s="392">
        <f>BG220</f>
        <v/>
      </c>
      <c r="BH278" s="392">
        <f>BH220</f>
        <v/>
      </c>
      <c r="BI278" s="392">
        <f>BI220</f>
        <v/>
      </c>
      <c r="BJ278" s="392">
        <f>BJ220</f>
        <v/>
      </c>
      <c r="BK278" s="392">
        <f>BK220</f>
        <v/>
      </c>
      <c r="BL278" s="392">
        <f>BL220</f>
        <v/>
      </c>
      <c r="BM278" s="392">
        <f>BM220</f>
        <v/>
      </c>
      <c r="BN278" s="392">
        <f>BN220</f>
        <v/>
      </c>
      <c r="BO278" s="392">
        <f>BO220</f>
        <v/>
      </c>
      <c r="BP278" s="392">
        <f>BP220</f>
        <v/>
      </c>
      <c r="BQ278" s="392">
        <f>BQ220</f>
        <v/>
      </c>
      <c r="BR278" s="392">
        <f>BR220</f>
        <v/>
      </c>
      <c r="BS278" s="392">
        <f>BS220</f>
        <v/>
      </c>
      <c r="BT278" s="392">
        <f>BT220</f>
        <v/>
      </c>
      <c r="BU278" s="392">
        <f>BU220</f>
        <v/>
      </c>
      <c r="BV278" s="392">
        <f>BV220</f>
        <v/>
      </c>
      <c r="BW278" s="392">
        <f>BW220</f>
        <v/>
      </c>
      <c r="BX278" s="392">
        <f>BX220</f>
        <v/>
      </c>
      <c r="BY278" s="392">
        <f>BY220</f>
        <v/>
      </c>
      <c r="BZ278" s="392">
        <f>BZ220</f>
        <v/>
      </c>
      <c r="CA278" s="392">
        <f>CA220</f>
        <v/>
      </c>
      <c r="CB278" s="392">
        <f>CB220</f>
        <v/>
      </c>
      <c r="CC278" s="392">
        <f>CC220</f>
        <v/>
      </c>
      <c r="CD278" s="392">
        <f>CD220</f>
        <v/>
      </c>
      <c r="CE278" s="392">
        <f>CE220</f>
        <v/>
      </c>
      <c r="CF278" s="392">
        <f>CF220</f>
        <v/>
      </c>
      <c r="CG278" s="392">
        <f>CG220</f>
        <v/>
      </c>
      <c r="CH278" s="392">
        <f>CH220</f>
        <v/>
      </c>
      <c r="CI278" s="392">
        <f>CI220</f>
        <v/>
      </c>
      <c r="CJ278" s="392">
        <f>CJ220</f>
        <v/>
      </c>
      <c r="CK278" s="392">
        <f>CK220</f>
        <v/>
      </c>
      <c r="CL278" s="392">
        <f>CL220</f>
        <v/>
      </c>
      <c r="CM278" s="392">
        <f>CM220</f>
        <v/>
      </c>
      <c r="CN278" s="392">
        <f>CN220</f>
        <v/>
      </c>
      <c r="CO278" s="392">
        <f>CO220</f>
        <v/>
      </c>
      <c r="CP278" s="392">
        <f>CP220</f>
        <v/>
      </c>
      <c r="CQ278" s="392">
        <f>CQ220</f>
        <v/>
      </c>
      <c r="CR278" s="392">
        <f>CR220</f>
        <v/>
      </c>
      <c r="CS278" s="392">
        <f>CS220</f>
        <v/>
      </c>
      <c r="CT278" s="392">
        <f>CT220</f>
        <v/>
      </c>
      <c r="CU278" s="392">
        <f>CU220</f>
        <v/>
      </c>
      <c r="CV278" s="392">
        <f>CV220</f>
        <v/>
      </c>
      <c r="CW278" s="392">
        <f>CW220</f>
        <v/>
      </c>
      <c r="CX278" s="392">
        <f>CX220</f>
        <v/>
      </c>
      <c r="CY278" s="392">
        <f>CY220</f>
        <v/>
      </c>
      <c r="CZ278" s="392">
        <f>CZ220</f>
        <v/>
      </c>
      <c r="DA278" s="392">
        <f>DA220</f>
        <v/>
      </c>
      <c r="DB278" s="392">
        <f>DB220</f>
        <v/>
      </c>
      <c r="DC278" s="392">
        <f>DC220</f>
        <v/>
      </c>
      <c r="DD278" s="392">
        <f>DD220</f>
        <v/>
      </c>
      <c r="DE278" s="392">
        <f>DE220</f>
        <v/>
      </c>
    </row>
    <row r="279" ht="15" customFormat="1" customHeight="1" s="380">
      <c r="A279" s="397" t="inlineStr">
        <is>
          <t>Row Run Capital Payment</t>
        </is>
      </c>
      <c r="B279" s="392" t="n"/>
      <c r="C279" s="392" t="n"/>
      <c r="D279" s="392" t="n"/>
      <c r="E279" s="392" t="n"/>
      <c r="F279" s="392" t="n"/>
      <c r="G279" s="392" t="n"/>
      <c r="H279" s="392" t="n"/>
      <c r="I279" s="392">
        <f>I226</f>
        <v/>
      </c>
      <c r="J279" s="392">
        <f>J226</f>
        <v/>
      </c>
      <c r="K279" s="392">
        <f>K226</f>
        <v/>
      </c>
      <c r="L279" s="392">
        <f>L226</f>
        <v/>
      </c>
      <c r="M279" s="392">
        <f>M226</f>
        <v/>
      </c>
      <c r="N279" s="392">
        <f>N226</f>
        <v/>
      </c>
      <c r="O279" s="392">
        <f>O226</f>
        <v/>
      </c>
      <c r="P279" s="392">
        <f>P226</f>
        <v/>
      </c>
      <c r="Q279" s="392">
        <f>Q226</f>
        <v/>
      </c>
      <c r="R279" s="392">
        <f>R226</f>
        <v/>
      </c>
      <c r="S279" s="392">
        <f>S226</f>
        <v/>
      </c>
      <c r="T279" s="392">
        <f>T226</f>
        <v/>
      </c>
      <c r="U279" s="392">
        <f>U226</f>
        <v/>
      </c>
      <c r="V279" s="392">
        <f>V226</f>
        <v/>
      </c>
      <c r="W279" s="392">
        <f>W226</f>
        <v/>
      </c>
      <c r="X279" s="392">
        <f>X226</f>
        <v/>
      </c>
      <c r="Y279" s="392">
        <f>Y226</f>
        <v/>
      </c>
      <c r="Z279" s="392">
        <f>Z226</f>
        <v/>
      </c>
      <c r="AA279" s="392">
        <f>AA226</f>
        <v/>
      </c>
      <c r="AB279" s="392">
        <f>AB226</f>
        <v/>
      </c>
      <c r="AC279" s="392">
        <f>AC226</f>
        <v/>
      </c>
      <c r="AD279" s="392">
        <f>AD226</f>
        <v/>
      </c>
      <c r="AE279" s="392">
        <f>AE226</f>
        <v/>
      </c>
      <c r="AF279" s="392">
        <f>AF226</f>
        <v/>
      </c>
      <c r="AG279" s="392">
        <f>AG226</f>
        <v/>
      </c>
      <c r="AH279" s="392">
        <f>AH226</f>
        <v/>
      </c>
      <c r="AI279" s="392">
        <f>AI226</f>
        <v/>
      </c>
      <c r="AJ279" s="392">
        <f>AJ226</f>
        <v/>
      </c>
      <c r="AK279" s="392">
        <f>AK226</f>
        <v/>
      </c>
      <c r="AL279" s="392">
        <f>AL226</f>
        <v/>
      </c>
      <c r="AM279" s="392">
        <f>AM226</f>
        <v/>
      </c>
      <c r="AN279" s="392">
        <f>AN226</f>
        <v/>
      </c>
      <c r="AO279" s="392">
        <f>AO226</f>
        <v/>
      </c>
      <c r="AP279" s="392">
        <f>AP226</f>
        <v/>
      </c>
      <c r="AQ279" s="392">
        <f>AQ226</f>
        <v/>
      </c>
      <c r="AR279" s="392">
        <f>AR226</f>
        <v/>
      </c>
      <c r="AS279" s="392">
        <f>AS226</f>
        <v/>
      </c>
      <c r="AT279" s="392">
        <f>AT226</f>
        <v/>
      </c>
      <c r="AU279" s="392">
        <f>AU226</f>
        <v/>
      </c>
      <c r="AV279" s="392">
        <f>AV226</f>
        <v/>
      </c>
      <c r="AW279" s="392">
        <f>AW226</f>
        <v/>
      </c>
      <c r="AX279" s="392">
        <f>AX226</f>
        <v/>
      </c>
      <c r="AY279" s="392">
        <f>AY226</f>
        <v/>
      </c>
      <c r="AZ279" s="392">
        <f>AZ226</f>
        <v/>
      </c>
      <c r="BA279" s="392">
        <f>BA226</f>
        <v/>
      </c>
      <c r="BB279" s="392">
        <f>BB226</f>
        <v/>
      </c>
      <c r="BC279" s="392">
        <f>BC226</f>
        <v/>
      </c>
      <c r="BD279" s="392">
        <f>BD226</f>
        <v/>
      </c>
      <c r="BE279" s="392">
        <f>BE226</f>
        <v/>
      </c>
      <c r="BF279" s="392">
        <f>BF226</f>
        <v/>
      </c>
      <c r="BG279" s="392">
        <f>BG226</f>
        <v/>
      </c>
      <c r="BH279" s="392">
        <f>BH226</f>
        <v/>
      </c>
      <c r="BI279" s="392">
        <f>BI226</f>
        <v/>
      </c>
      <c r="BJ279" s="392">
        <f>BJ226</f>
        <v/>
      </c>
      <c r="BK279" s="392">
        <f>BK226</f>
        <v/>
      </c>
      <c r="BL279" s="392">
        <f>BL226</f>
        <v/>
      </c>
      <c r="BM279" s="392">
        <f>BM226</f>
        <v/>
      </c>
      <c r="BN279" s="392">
        <f>BN226</f>
        <v/>
      </c>
      <c r="BO279" s="392">
        <f>BO226</f>
        <v/>
      </c>
      <c r="BP279" s="392">
        <f>BP226</f>
        <v/>
      </c>
      <c r="BQ279" s="392">
        <f>BQ226</f>
        <v/>
      </c>
      <c r="BR279" s="392">
        <f>BR226</f>
        <v/>
      </c>
      <c r="BS279" s="392">
        <f>BS226</f>
        <v/>
      </c>
      <c r="BT279" s="392">
        <f>BT226</f>
        <v/>
      </c>
      <c r="BU279" s="392">
        <f>BU226</f>
        <v/>
      </c>
      <c r="BV279" s="392">
        <f>BV226</f>
        <v/>
      </c>
      <c r="BW279" s="392">
        <f>BW226</f>
        <v/>
      </c>
      <c r="BX279" s="392">
        <f>BX226</f>
        <v/>
      </c>
      <c r="BY279" s="392">
        <f>BY226</f>
        <v/>
      </c>
      <c r="BZ279" s="392">
        <f>BZ226</f>
        <v/>
      </c>
      <c r="CA279" s="392">
        <f>CA226</f>
        <v/>
      </c>
      <c r="CB279" s="392">
        <f>CB226</f>
        <v/>
      </c>
      <c r="CC279" s="392">
        <f>CC226</f>
        <v/>
      </c>
      <c r="CD279" s="392">
        <f>CD226</f>
        <v/>
      </c>
      <c r="CE279" s="392">
        <f>CE226</f>
        <v/>
      </c>
      <c r="CF279" s="392">
        <f>CF226</f>
        <v/>
      </c>
      <c r="CG279" s="392">
        <f>CG226</f>
        <v/>
      </c>
      <c r="CH279" s="392">
        <f>CH226</f>
        <v/>
      </c>
      <c r="CI279" s="392">
        <f>CI226</f>
        <v/>
      </c>
      <c r="CJ279" s="392">
        <f>CJ226</f>
        <v/>
      </c>
      <c r="CK279" s="392">
        <f>CK226</f>
        <v/>
      </c>
      <c r="CL279" s="392">
        <f>CL226</f>
        <v/>
      </c>
      <c r="CM279" s="392">
        <f>CM226</f>
        <v/>
      </c>
      <c r="CN279" s="392">
        <f>CN226</f>
        <v/>
      </c>
      <c r="CO279" s="392">
        <f>CO226</f>
        <v/>
      </c>
      <c r="CP279" s="392">
        <f>CP226</f>
        <v/>
      </c>
      <c r="CQ279" s="392">
        <f>CQ226</f>
        <v/>
      </c>
      <c r="CR279" s="392">
        <f>CR226</f>
        <v/>
      </c>
      <c r="CS279" s="392">
        <f>CS226</f>
        <v/>
      </c>
      <c r="CT279" s="392">
        <f>CT226</f>
        <v/>
      </c>
      <c r="CU279" s="392">
        <f>CU226</f>
        <v/>
      </c>
      <c r="CV279" s="392">
        <f>CV226</f>
        <v/>
      </c>
      <c r="CW279" s="392">
        <f>CW226</f>
        <v/>
      </c>
      <c r="CX279" s="392">
        <f>CX226</f>
        <v/>
      </c>
      <c r="CY279" s="392">
        <f>CY226</f>
        <v/>
      </c>
      <c r="CZ279" s="392">
        <f>CZ226</f>
        <v/>
      </c>
      <c r="DA279" s="392">
        <f>DA226</f>
        <v/>
      </c>
      <c r="DB279" s="392">
        <f>DB226</f>
        <v/>
      </c>
      <c r="DC279" s="392">
        <f>DC226</f>
        <v/>
      </c>
      <c r="DD279" s="392">
        <f>DD226</f>
        <v/>
      </c>
      <c r="DE279" s="392">
        <f>DE226</f>
        <v/>
      </c>
    </row>
    <row r="280" ht="15" customFormat="1" customHeight="1" s="380">
      <c r="A280" s="397" t="inlineStr">
        <is>
          <t>PIK Repayment (included in SP Expenses above)</t>
        </is>
      </c>
      <c r="B280" s="392" t="n"/>
      <c r="C280" s="392" t="n"/>
      <c r="D280" s="392" t="n"/>
      <c r="E280" s="392" t="n"/>
      <c r="F280" s="392" t="n"/>
      <c r="G280" s="392" t="n"/>
      <c r="H280" s="392" t="n"/>
      <c r="I280" s="392" t="n">
        <v>0</v>
      </c>
      <c r="J280" s="392" t="n">
        <v>0</v>
      </c>
      <c r="K280" s="392" t="n">
        <v>0</v>
      </c>
      <c r="L280" s="392" t="n">
        <v>0</v>
      </c>
      <c r="M280" s="392" t="n">
        <v>0</v>
      </c>
      <c r="N280" s="392" t="n">
        <v>0</v>
      </c>
      <c r="O280" s="392" t="n">
        <v>0</v>
      </c>
      <c r="P280" s="392" t="n">
        <v>0</v>
      </c>
      <c r="Q280" s="392" t="n">
        <v>0</v>
      </c>
      <c r="R280" s="392" t="n">
        <v>0</v>
      </c>
      <c r="S280" s="392" t="n">
        <v>0</v>
      </c>
      <c r="T280" s="392" t="n">
        <v>0</v>
      </c>
      <c r="U280" s="392" t="n">
        <v>0</v>
      </c>
      <c r="V280" s="392" t="n">
        <v>0</v>
      </c>
      <c r="W280" s="392" t="n">
        <v>0</v>
      </c>
      <c r="X280" s="392" t="n">
        <v>0</v>
      </c>
      <c r="Y280" s="392" t="n">
        <v>0</v>
      </c>
      <c r="Z280" s="392" t="n">
        <v>0</v>
      </c>
      <c r="AA280" s="392" t="n">
        <v>0</v>
      </c>
      <c r="AB280" s="392" t="n">
        <v>0</v>
      </c>
      <c r="AC280" s="392" t="n">
        <v>0</v>
      </c>
      <c r="AD280" s="392" t="n">
        <v>0</v>
      </c>
      <c r="AE280" s="392" t="n">
        <v>0</v>
      </c>
      <c r="AF280" s="392" t="n">
        <v>0</v>
      </c>
      <c r="AG280" s="392" t="n">
        <v>0</v>
      </c>
      <c r="AH280" s="392" t="n">
        <v>0</v>
      </c>
      <c r="AI280" s="392" t="n">
        <v>0</v>
      </c>
      <c r="AJ280" s="392" t="n">
        <v>0</v>
      </c>
      <c r="AK280" s="392" t="n">
        <v>0</v>
      </c>
      <c r="AL280" s="392" t="n">
        <v>0</v>
      </c>
      <c r="AM280" s="392" t="n">
        <v>0</v>
      </c>
      <c r="AN280" s="392" t="n">
        <v>0</v>
      </c>
      <c r="AO280" s="392" t="n">
        <v>0</v>
      </c>
      <c r="AP280" s="392" t="n">
        <v>0</v>
      </c>
      <c r="AQ280" s="392" t="n">
        <v>0</v>
      </c>
      <c r="AR280" s="392" t="n">
        <v>0</v>
      </c>
      <c r="AS280" s="392" t="n">
        <v>0</v>
      </c>
      <c r="AT280" s="392" t="n">
        <v>0</v>
      </c>
      <c r="AU280" s="392" t="n">
        <v>0</v>
      </c>
      <c r="AV280" s="392" t="n">
        <v>0</v>
      </c>
      <c r="AW280" s="392" t="n">
        <v>0</v>
      </c>
      <c r="AX280" s="392" t="n">
        <v>0</v>
      </c>
      <c r="AY280" s="392" t="n">
        <v>0</v>
      </c>
      <c r="AZ280" s="392" t="n">
        <v>0</v>
      </c>
      <c r="BA280" s="392" t="n">
        <v>0</v>
      </c>
      <c r="BB280" s="392" t="n">
        <v>0</v>
      </c>
      <c r="BC280" s="392" t="n">
        <v>0</v>
      </c>
      <c r="BD280" s="392" t="n">
        <v>0</v>
      </c>
      <c r="BE280" s="392" t="n">
        <v>0</v>
      </c>
      <c r="BF280" s="392" t="n">
        <v>0</v>
      </c>
      <c r="BG280" s="392" t="n">
        <v>0</v>
      </c>
      <c r="BH280" s="392" t="n">
        <v>0</v>
      </c>
      <c r="BI280" s="392" t="n">
        <v>0</v>
      </c>
      <c r="BJ280" s="392" t="n">
        <v>0</v>
      </c>
      <c r="BK280" s="392" t="n">
        <v>0</v>
      </c>
      <c r="BL280" s="392" t="n">
        <v>0</v>
      </c>
      <c r="BM280" s="392" t="n">
        <v>0</v>
      </c>
      <c r="BN280" s="392" t="n">
        <v>0</v>
      </c>
      <c r="BO280" s="392" t="n">
        <v>0</v>
      </c>
      <c r="BP280" s="392" t="n">
        <v>0</v>
      </c>
      <c r="BQ280" s="392" t="n">
        <v>0</v>
      </c>
      <c r="BR280" s="392" t="n">
        <v>0</v>
      </c>
      <c r="BS280" s="392" t="n">
        <v>0</v>
      </c>
      <c r="BT280" s="392" t="n">
        <v>0</v>
      </c>
      <c r="BU280" s="392" t="n">
        <v>0</v>
      </c>
      <c r="BV280" s="392" t="n">
        <v>0</v>
      </c>
      <c r="BW280" s="392" t="n">
        <v>0</v>
      </c>
      <c r="BX280" s="392" t="n">
        <v>0</v>
      </c>
      <c r="BY280" s="392" t="n">
        <v>0</v>
      </c>
      <c r="BZ280" s="392" t="n">
        <v>0</v>
      </c>
      <c r="CA280" s="392" t="n">
        <v>0</v>
      </c>
      <c r="CB280" s="392" t="n">
        <v>0</v>
      </c>
      <c r="CC280" s="392" t="n">
        <v>0</v>
      </c>
      <c r="CD280" s="392" t="n">
        <v>0</v>
      </c>
      <c r="CE280" s="392" t="n">
        <v>0</v>
      </c>
      <c r="CF280" s="392" t="n">
        <v>0</v>
      </c>
      <c r="CG280" s="392" t="n">
        <v>0</v>
      </c>
      <c r="CH280" s="392" t="n">
        <v>0</v>
      </c>
      <c r="CI280" s="392" t="n">
        <v>0</v>
      </c>
      <c r="CJ280" s="392" t="n">
        <v>0</v>
      </c>
      <c r="CK280" s="392" t="n">
        <v>0</v>
      </c>
      <c r="CL280" s="392" t="n">
        <v>0</v>
      </c>
      <c r="CM280" s="392" t="n">
        <v>0</v>
      </c>
      <c r="CN280" s="392" t="n">
        <v>0</v>
      </c>
      <c r="CO280" s="392" t="n">
        <v>0</v>
      </c>
      <c r="CP280" s="392" t="n">
        <v>0</v>
      </c>
      <c r="CQ280" s="392" t="n">
        <v>0</v>
      </c>
      <c r="CR280" s="392" t="n">
        <v>0</v>
      </c>
      <c r="CS280" s="392" t="n">
        <v>0</v>
      </c>
      <c r="CT280" s="392" t="n"/>
      <c r="CU280" s="392" t="n"/>
      <c r="CV280" s="392" t="n"/>
      <c r="CW280" s="392" t="n"/>
      <c r="CX280" s="392" t="n"/>
      <c r="CY280" s="392" t="n"/>
      <c r="CZ280" s="392" t="n"/>
      <c r="DA280" s="392" t="n"/>
      <c r="DB280" s="392" t="n"/>
      <c r="DC280" s="392" t="n"/>
      <c r="DD280" s="392" t="n"/>
      <c r="DE280" s="392" t="n"/>
    </row>
    <row r="281" ht="15" customFormat="1" customHeight="1" s="380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Format="1" customHeight="1" s="380">
      <c r="A282" s="382" t="n"/>
      <c r="B282" s="392" t="n"/>
      <c r="C282" s="392" t="n"/>
      <c r="D282" s="392" t="n"/>
      <c r="E282" s="392" t="n"/>
      <c r="F282" s="392" t="n"/>
      <c r="G282" s="392" t="n"/>
      <c r="H282" s="392" t="n"/>
      <c r="I282" s="392" t="n"/>
      <c r="J282" s="392" t="n"/>
      <c r="K282" s="392" t="n"/>
      <c r="L282" s="392" t="n"/>
      <c r="M282" s="392" t="n"/>
      <c r="N282" s="392" t="n"/>
      <c r="O282" s="392" t="n"/>
      <c r="P282" s="392" t="n"/>
      <c r="Q282" s="392" t="n"/>
      <c r="R282" s="392" t="n"/>
      <c r="S282" s="392" t="n"/>
      <c r="T282" s="392" t="n"/>
      <c r="U282" s="392" t="n"/>
      <c r="V282" s="392" t="n"/>
      <c r="W282" s="392" t="n"/>
      <c r="X282" s="392" t="n"/>
      <c r="Y282" s="392" t="n"/>
      <c r="Z282" s="392" t="n"/>
      <c r="AA282" s="392" t="n"/>
      <c r="AB282" s="392" t="n"/>
      <c r="AC282" s="392" t="n"/>
      <c r="AD282" s="392" t="n"/>
      <c r="AE282" s="392" t="n"/>
      <c r="AF282" s="392" t="n"/>
      <c r="AG282" s="392" t="n"/>
      <c r="AH282" s="392" t="n"/>
      <c r="AI282" s="392" t="n"/>
      <c r="AJ282" s="392" t="n"/>
      <c r="AK282" s="392" t="n"/>
      <c r="AL282" s="392" t="n"/>
      <c r="AM282" s="392" t="n"/>
      <c r="AN282" s="392" t="n"/>
      <c r="AO282" s="392" t="n"/>
      <c r="AP282" s="392" t="n"/>
      <c r="AQ282" s="392" t="n"/>
      <c r="AR282" s="392" t="n"/>
      <c r="AS282" s="392" t="n"/>
      <c r="AT282" s="392" t="n"/>
      <c r="AU282" s="392" t="n"/>
      <c r="AV282" s="392" t="n"/>
      <c r="AW282" s="392" t="n"/>
      <c r="AX282" s="392" t="n"/>
      <c r="AY282" s="392" t="n"/>
      <c r="AZ282" s="392" t="n"/>
      <c r="BA282" s="392" t="n"/>
      <c r="BB282" s="392" t="n"/>
      <c r="BC282" s="392" t="n"/>
      <c r="BD282" s="392" t="n"/>
      <c r="BE282" s="392" t="n"/>
      <c r="BF282" s="392" t="n"/>
      <c r="BG282" s="392" t="n"/>
      <c r="BH282" s="392" t="n"/>
      <c r="BI282" s="392" t="n"/>
      <c r="BJ282" s="392" t="n"/>
      <c r="BK282" s="392" t="n"/>
      <c r="BL282" s="392" t="n"/>
      <c r="BM282" s="392" t="n"/>
      <c r="BN282" s="392" t="n"/>
      <c r="BO282" s="392" t="n"/>
      <c r="BP282" s="392" t="n"/>
      <c r="BQ282" s="392" t="n"/>
      <c r="BR282" s="392" t="n"/>
      <c r="BS282" s="392" t="n"/>
      <c r="BT282" s="392" t="n"/>
      <c r="BU282" s="392" t="n"/>
      <c r="BV282" s="392" t="n"/>
      <c r="BW282" s="392" t="n"/>
      <c r="BX282" s="392" t="n"/>
      <c r="BY282" s="392" t="n"/>
      <c r="BZ282" s="392" t="n"/>
      <c r="CA282" s="392" t="n"/>
      <c r="CB282" s="392" t="n"/>
      <c r="CC282" s="392" t="n"/>
      <c r="CD282" s="392" t="n"/>
      <c r="CE282" s="392" t="n"/>
      <c r="CF282" s="392" t="n"/>
      <c r="CG282" s="392" t="n"/>
      <c r="CH282" s="392" t="n"/>
      <c r="CI282" s="392" t="n"/>
      <c r="CJ282" s="392" t="n"/>
      <c r="CK282" s="392" t="n"/>
      <c r="CL282" s="392" t="n"/>
      <c r="CM282" s="392" t="n"/>
      <c r="CN282" s="392" t="n"/>
      <c r="CO282" s="392" t="n"/>
      <c r="CP282" s="392" t="n"/>
      <c r="CQ282" s="392" t="n"/>
      <c r="CR282" s="392" t="n"/>
      <c r="CS282" s="392" t="n"/>
      <c r="CT282" s="392" t="n"/>
      <c r="CU282" s="392" t="n"/>
      <c r="CV282" s="392" t="n"/>
      <c r="CW282" s="392" t="n"/>
      <c r="CX282" s="392" t="n"/>
      <c r="CY282" s="392" t="n"/>
      <c r="CZ282" s="392" t="n"/>
      <c r="DA282" s="392" t="n"/>
      <c r="DB282" s="392" t="n"/>
      <c r="DC282" s="392" t="n"/>
      <c r="DD282" s="392" t="n"/>
      <c r="DE282" s="392" t="n"/>
    </row>
    <row r="283" ht="15" customFormat="1" customHeight="1" s="380">
      <c r="A283" s="402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Format="1" customHeight="1" s="380">
      <c r="A284" s="397" t="inlineStr">
        <is>
          <t>Total Beginning Cash</t>
        </is>
      </c>
      <c r="B284" s="392" t="n"/>
      <c r="C284" s="392" t="n"/>
      <c r="D284" s="392" t="n"/>
      <c r="E284" s="392" t="n"/>
      <c r="F284" s="392" t="n"/>
      <c r="G284" s="392" t="n"/>
      <c r="H284" s="392" t="n"/>
      <c r="I284" s="392">
        <f>I265+I276</f>
        <v/>
      </c>
      <c r="J284" s="392">
        <f>J265+J276</f>
        <v/>
      </c>
      <c r="K284" s="392">
        <f>K265+K276</f>
        <v/>
      </c>
      <c r="L284" s="392">
        <f>L265+L276</f>
        <v/>
      </c>
      <c r="M284" s="392">
        <f>M265+M276</f>
        <v/>
      </c>
      <c r="N284" s="392">
        <f>N265+N276</f>
        <v/>
      </c>
      <c r="O284" s="392">
        <f>O265+O276</f>
        <v/>
      </c>
      <c r="P284" s="392">
        <f>P265+P276</f>
        <v/>
      </c>
      <c r="Q284" s="392">
        <f>Q265+Q276</f>
        <v/>
      </c>
      <c r="R284" s="392">
        <f>R265+R276</f>
        <v/>
      </c>
      <c r="S284" s="392">
        <f>S265+S276</f>
        <v/>
      </c>
      <c r="T284" s="392">
        <f>T265+T276</f>
        <v/>
      </c>
      <c r="U284" s="392">
        <f>U265+U276</f>
        <v/>
      </c>
      <c r="V284" s="392">
        <f>V265+V276</f>
        <v/>
      </c>
      <c r="W284" s="392">
        <f>W265+W276</f>
        <v/>
      </c>
      <c r="X284" s="392">
        <f>X265+X276</f>
        <v/>
      </c>
      <c r="Y284" s="392">
        <f>Y265+Y276</f>
        <v/>
      </c>
      <c r="Z284" s="392">
        <f>Z265+Z276</f>
        <v/>
      </c>
      <c r="AA284" s="392">
        <f>AA265+AA276</f>
        <v/>
      </c>
      <c r="AB284" s="392">
        <f>AB265+AB276</f>
        <v/>
      </c>
      <c r="AC284" s="392">
        <f>AC265+AC276</f>
        <v/>
      </c>
      <c r="AD284" s="392">
        <f>AD265+AD276</f>
        <v/>
      </c>
      <c r="AE284" s="392">
        <f>AE265+AE276</f>
        <v/>
      </c>
      <c r="AF284" s="392">
        <f>AF265+AF276</f>
        <v/>
      </c>
      <c r="AG284" s="392">
        <f>AG265+AG276</f>
        <v/>
      </c>
      <c r="AH284" s="392">
        <f>AH265+AH276</f>
        <v/>
      </c>
      <c r="AI284" s="392">
        <f>AI265+AI276</f>
        <v/>
      </c>
      <c r="AJ284" s="392">
        <f>AJ265+AJ276</f>
        <v/>
      </c>
      <c r="AK284" s="392">
        <f>AK265+AK276</f>
        <v/>
      </c>
      <c r="AL284" s="392">
        <f>AL265+AL276</f>
        <v/>
      </c>
      <c r="AM284" s="392">
        <f>AM265+AM276</f>
        <v/>
      </c>
      <c r="AN284" s="392">
        <f>AN265+AN276</f>
        <v/>
      </c>
      <c r="AO284" s="392">
        <f>AO265+AO276</f>
        <v/>
      </c>
      <c r="AP284" s="392">
        <f>AP265+AP276</f>
        <v/>
      </c>
      <c r="AQ284" s="392">
        <f>AQ265+AQ276</f>
        <v/>
      </c>
      <c r="AR284" s="392">
        <f>AR265+AR276</f>
        <v/>
      </c>
      <c r="AS284" s="392">
        <f>AS265+AS276</f>
        <v/>
      </c>
      <c r="AT284" s="392">
        <f>AT265+AT276</f>
        <v/>
      </c>
      <c r="AU284" s="392">
        <f>AU265+AU276</f>
        <v/>
      </c>
      <c r="AV284" s="392">
        <f>AV265+AV276</f>
        <v/>
      </c>
      <c r="AW284" s="392">
        <f>AW265+AW276</f>
        <v/>
      </c>
      <c r="AX284" s="392">
        <f>AX265+AX276</f>
        <v/>
      </c>
      <c r="AY284" s="392">
        <f>AY265+AY276</f>
        <v/>
      </c>
      <c r="AZ284" s="392">
        <f>AZ265+AZ276</f>
        <v/>
      </c>
      <c r="BA284" s="392">
        <f>BA265+BA276</f>
        <v/>
      </c>
      <c r="BB284" s="392">
        <f>BB265+BB276</f>
        <v/>
      </c>
      <c r="BC284" s="392">
        <f>BC265+BC276</f>
        <v/>
      </c>
      <c r="BD284" s="392">
        <f>BD265+BD276</f>
        <v/>
      </c>
      <c r="BE284" s="392">
        <f>BE265+BE276</f>
        <v/>
      </c>
      <c r="BF284" s="392">
        <f>BF265+BF276</f>
        <v/>
      </c>
      <c r="BG284" s="392">
        <f>BG265+BG276</f>
        <v/>
      </c>
      <c r="BH284" s="392">
        <f>BH265+BH276</f>
        <v/>
      </c>
      <c r="BI284" s="392">
        <f>BI265+BI276</f>
        <v/>
      </c>
      <c r="BJ284" s="392">
        <f>BJ265+BJ276</f>
        <v/>
      </c>
      <c r="BK284" s="392">
        <f>BK265+BK276</f>
        <v/>
      </c>
      <c r="BL284" s="392">
        <f>BL265+BL276</f>
        <v/>
      </c>
      <c r="BM284" s="392">
        <f>BM265+BM276</f>
        <v/>
      </c>
      <c r="BN284" s="392">
        <f>BN265+BN276</f>
        <v/>
      </c>
      <c r="BO284" s="392">
        <f>BO265+BO276</f>
        <v/>
      </c>
      <c r="BP284" s="392">
        <f>BP265+BP276</f>
        <v/>
      </c>
      <c r="BQ284" s="392">
        <f>BQ265+BQ276</f>
        <v/>
      </c>
      <c r="BR284" s="392">
        <f>BR265+BR276</f>
        <v/>
      </c>
      <c r="BS284" s="392">
        <f>BS265+BS276</f>
        <v/>
      </c>
      <c r="BT284" s="392">
        <f>BT265+BT276</f>
        <v/>
      </c>
      <c r="BU284" s="392">
        <f>BU265+BU276</f>
        <v/>
      </c>
      <c r="BV284" s="392">
        <f>BV265+BV276</f>
        <v/>
      </c>
      <c r="BW284" s="392">
        <f>BW265+BW276</f>
        <v/>
      </c>
      <c r="BX284" s="392">
        <f>BX265+BX276</f>
        <v/>
      </c>
      <c r="BY284" s="392">
        <f>BY265+BY276</f>
        <v/>
      </c>
      <c r="BZ284" s="392">
        <f>BZ265+BZ276</f>
        <v/>
      </c>
      <c r="CA284" s="392">
        <f>CA265+CA276</f>
        <v/>
      </c>
      <c r="CB284" s="392">
        <f>CB265+CB276</f>
        <v/>
      </c>
      <c r="CC284" s="392">
        <f>CC265+CC276</f>
        <v/>
      </c>
      <c r="CD284" s="392">
        <f>CD265+CD276</f>
        <v/>
      </c>
      <c r="CE284" s="392">
        <f>CE265+CE276</f>
        <v/>
      </c>
      <c r="CF284" s="392">
        <f>CF265+CF276</f>
        <v/>
      </c>
      <c r="CG284" s="392">
        <f>CG265+CG276</f>
        <v/>
      </c>
      <c r="CH284" s="392">
        <f>CH265+CH276</f>
        <v/>
      </c>
      <c r="CI284" s="392">
        <f>CI265+CI276</f>
        <v/>
      </c>
      <c r="CJ284" s="392">
        <f>CJ265+CJ276</f>
        <v/>
      </c>
      <c r="CK284" s="392">
        <f>CK265+CK276</f>
        <v/>
      </c>
      <c r="CL284" s="392">
        <f>CL265+CL276</f>
        <v/>
      </c>
      <c r="CM284" s="392">
        <f>CM265+CM276</f>
        <v/>
      </c>
      <c r="CN284" s="392">
        <f>CN265+CN276</f>
        <v/>
      </c>
      <c r="CO284" s="392">
        <f>CO265+CO276</f>
        <v/>
      </c>
      <c r="CP284" s="392">
        <f>CP265+CP276</f>
        <v/>
      </c>
      <c r="CQ284" s="392">
        <f>CQ265+CQ276</f>
        <v/>
      </c>
      <c r="CR284" s="392">
        <f>CR265+CR276</f>
        <v/>
      </c>
      <c r="CS284" s="392">
        <f>CS265+CS276</f>
        <v/>
      </c>
      <c r="CT284" s="392">
        <f>CT265+CT276</f>
        <v/>
      </c>
      <c r="CU284" s="392">
        <f>CU265+CU276</f>
        <v/>
      </c>
      <c r="CV284" s="392">
        <f>CV265+CV276</f>
        <v/>
      </c>
      <c r="CW284" s="392">
        <f>CW265+CW276</f>
        <v/>
      </c>
      <c r="CX284" s="392">
        <f>CX265+CX276</f>
        <v/>
      </c>
      <c r="CY284" s="392">
        <f>CY265+CY276</f>
        <v/>
      </c>
      <c r="CZ284" s="392">
        <f>CZ265+CZ276</f>
        <v/>
      </c>
      <c r="DA284" s="392">
        <f>DA265+DA276</f>
        <v/>
      </c>
      <c r="DB284" s="392">
        <f>DB265+DB276</f>
        <v/>
      </c>
      <c r="DC284" s="392">
        <f>DC265+DC276</f>
        <v/>
      </c>
      <c r="DD284" s="392">
        <f>DD265+DD276</f>
        <v/>
      </c>
      <c r="DE284" s="392">
        <f>DE265+DE276</f>
        <v/>
      </c>
    </row>
    <row r="285" ht="15" customFormat="1" customHeight="1" s="380">
      <c r="A285" s="397" t="inlineStr">
        <is>
          <t>Tax Distribution (50.3% Consol NI)</t>
        </is>
      </c>
      <c r="B285" s="392" t="n"/>
      <c r="C285" s="392" t="n"/>
      <c r="D285" s="392" t="n"/>
      <c r="E285" s="392" t="n"/>
      <c r="F285" s="392" t="n"/>
      <c r="G285" s="392" t="n"/>
      <c r="H285" s="392" t="n"/>
      <c r="I285" s="392" t="n">
        <v>0</v>
      </c>
      <c r="J285" s="392" t="n">
        <v>0</v>
      </c>
      <c r="K285" s="392" t="n">
        <v>0</v>
      </c>
      <c r="L285" s="392" t="n">
        <v>0</v>
      </c>
      <c r="M285" s="392" t="n">
        <v>0</v>
      </c>
      <c r="N285" s="392" t="n">
        <v>0</v>
      </c>
      <c r="O285" s="392" t="n">
        <v>0</v>
      </c>
      <c r="P285" s="392">
        <f>IF((B212+C212+D212+E212+F212+G212+H212+I212+J212+K212+L212+M212)&gt;0,-(B212+C212+D212+E212+F212+G212+H212+I212+J212+K212+L212+M212)*0.503,0)</f>
        <v/>
      </c>
      <c r="Q285" s="392" t="n">
        <v>0</v>
      </c>
      <c r="R285" s="392" t="n">
        <v>0</v>
      </c>
      <c r="S285" s="392" t="n">
        <v>0</v>
      </c>
      <c r="T285" s="392" t="n">
        <v>0</v>
      </c>
      <c r="U285" s="392" t="n">
        <v>0</v>
      </c>
      <c r="V285" s="392" t="n">
        <v>0</v>
      </c>
      <c r="W285" s="392" t="n">
        <v>0</v>
      </c>
      <c r="X285" s="392" t="n">
        <v>0</v>
      </c>
      <c r="Y285" s="392" t="n">
        <v>0</v>
      </c>
      <c r="Z285" s="392" t="n">
        <v>0</v>
      </c>
      <c r="AA285" s="392" t="n">
        <v>0</v>
      </c>
      <c r="AB285" s="392">
        <f>IF((N212+O212+P212+Q212+R212+S212+T212+U212+V212+W212+X212+Y212)&gt;0,-(N212+O212+P212+Q212+R212+S212+T212+U212+V212+W212+X212+Y212)*0.503,0)</f>
        <v/>
      </c>
      <c r="AC285" s="392" t="n">
        <v>0</v>
      </c>
      <c r="AD285" s="392" t="n">
        <v>0</v>
      </c>
      <c r="AE285" s="392" t="n">
        <v>0</v>
      </c>
      <c r="AF285" s="392" t="n">
        <v>0</v>
      </c>
      <c r="AG285" s="392" t="n">
        <v>0</v>
      </c>
      <c r="AH285" s="392" t="n">
        <v>0</v>
      </c>
      <c r="AI285" s="392" t="n">
        <v>0</v>
      </c>
      <c r="AJ285" s="392" t="n">
        <v>0</v>
      </c>
      <c r="AK285" s="392" t="n">
        <v>0</v>
      </c>
      <c r="AL285" s="392" t="n">
        <v>0</v>
      </c>
      <c r="AM285" s="392" t="n">
        <v>0</v>
      </c>
      <c r="AN285" s="392">
        <f>IF((Z212+AA212+AB212+AC212+AD212+AE212+AF212+AG212+AH212+AI212+AJ212+AK212)&gt;0,-(Z212+AA212+AB212+AC212+AD212+AE212+AF212+AG212+AH212+AI212+AJ212+AK212)*0.503,0)</f>
        <v/>
      </c>
      <c r="AO285" s="392" t="n">
        <v>0</v>
      </c>
      <c r="AP285" s="392" t="n">
        <v>0</v>
      </c>
      <c r="AQ285" s="392" t="n">
        <v>0</v>
      </c>
      <c r="AR285" s="392" t="n">
        <v>0</v>
      </c>
      <c r="AS285" s="392" t="n">
        <v>0</v>
      </c>
      <c r="AT285" s="392" t="n">
        <v>0</v>
      </c>
      <c r="AU285" s="392" t="n">
        <v>0</v>
      </c>
      <c r="AV285" s="392" t="n">
        <v>0</v>
      </c>
      <c r="AW285" s="392" t="n">
        <v>0</v>
      </c>
      <c r="AX285" s="392" t="n">
        <v>0</v>
      </c>
      <c r="AY285" s="392" t="n">
        <v>0</v>
      </c>
      <c r="AZ285" s="392">
        <f>IF((AL212+AM212+AN212+AO212+AP212+AQ212+AR212+AS212+AT212+AU212+AV212+AW212)&gt;0,-(AL212+AM212+AN212+AO212+AP212+AQ212+AR212+AS212+AT212+AU212+AV212+AW212)*0.503,0)</f>
        <v/>
      </c>
      <c r="BA285" s="392" t="n">
        <v>0</v>
      </c>
      <c r="BB285" s="392" t="n">
        <v>0</v>
      </c>
      <c r="BC285" s="392" t="n">
        <v>0</v>
      </c>
      <c r="BD285" s="392" t="n">
        <v>0</v>
      </c>
      <c r="BE285" s="392" t="n">
        <v>0</v>
      </c>
      <c r="BF285" s="392" t="n">
        <v>0</v>
      </c>
      <c r="BG285" s="392" t="n">
        <v>0</v>
      </c>
      <c r="BH285" s="392" t="n">
        <v>0</v>
      </c>
      <c r="BI285" s="392" t="n">
        <v>0</v>
      </c>
      <c r="BJ285" s="392" t="n">
        <v>0</v>
      </c>
      <c r="BK285" s="392" t="n">
        <v>0</v>
      </c>
      <c r="BL285" s="392">
        <f>IF((AX212+AY212+AZ212+BA212+BB212+BC212+BD212+BE212+BF212+BG212+BH212+BI212)&gt;0,-(AX212+AY212+AZ212+BA212+BB212+BC212+BD212+BE212+BF212+BG212+BH212+BI212)*0.503,0)</f>
        <v/>
      </c>
      <c r="BM285" s="392" t="n">
        <v>0</v>
      </c>
      <c r="BN285" s="392" t="n">
        <v>0</v>
      </c>
      <c r="BO285" s="392" t="n">
        <v>0</v>
      </c>
      <c r="BP285" s="392" t="n">
        <v>0</v>
      </c>
      <c r="BQ285" s="392" t="n">
        <v>0</v>
      </c>
      <c r="BR285" s="392" t="n">
        <v>0</v>
      </c>
      <c r="BS285" s="392" t="n">
        <v>0</v>
      </c>
      <c r="BT285" s="392" t="n">
        <v>0</v>
      </c>
      <c r="BU285" s="392" t="n">
        <v>0</v>
      </c>
      <c r="BV285" s="392" t="n">
        <v>0</v>
      </c>
      <c r="BW285" s="392" t="n">
        <v>0</v>
      </c>
      <c r="BX285" s="392">
        <f>IF((BJ212+BK212+BL212+BM212+BN212+BO212+BP212+BQ212+BR212+BS212+BT212+BU212)&gt;0,-(BJ212+BK212+BL212+BM212+BN212+BO212+BP212+BQ212+BR212+BS212+BT212+BU212)*0.503,0)</f>
        <v/>
      </c>
      <c r="BY285" s="392" t="n">
        <v>0</v>
      </c>
      <c r="BZ285" s="392" t="n">
        <v>0</v>
      </c>
      <c r="CA285" s="392" t="n">
        <v>0</v>
      </c>
      <c r="CB285" s="392" t="n">
        <v>0</v>
      </c>
      <c r="CC285" s="392" t="n">
        <v>0</v>
      </c>
      <c r="CD285" s="392" t="n">
        <v>0</v>
      </c>
      <c r="CE285" s="392" t="n">
        <v>0</v>
      </c>
      <c r="CF285" s="392" t="n">
        <v>0</v>
      </c>
      <c r="CG285" s="392" t="n">
        <v>0</v>
      </c>
      <c r="CH285" s="392" t="n">
        <v>0</v>
      </c>
      <c r="CI285" s="392" t="n">
        <v>0</v>
      </c>
      <c r="CJ285" s="392">
        <f>IF((BV212+BW212+BX212+BY212+BZ212+CA212+CB212+CC212+CD212+CE212+CF212+CG212)&gt;0,-(BV212+BW212+BX212+BY212+BZ212+CA212+CB212+CC212+CD212+CE212+CF212+CG212)*0.503,0)</f>
        <v/>
      </c>
      <c r="CK285" s="392" t="n">
        <v>0</v>
      </c>
      <c r="CL285" s="392" t="n">
        <v>0</v>
      </c>
      <c r="CM285" s="392" t="n">
        <v>0</v>
      </c>
      <c r="CN285" s="392" t="n">
        <v>0</v>
      </c>
      <c r="CO285" s="392" t="n">
        <v>0</v>
      </c>
      <c r="CP285" s="392" t="n">
        <v>0</v>
      </c>
      <c r="CQ285" s="392" t="n">
        <v>0</v>
      </c>
      <c r="CR285" s="392" t="n">
        <v>0</v>
      </c>
      <c r="CS285" s="392" t="n">
        <v>0</v>
      </c>
      <c r="CT285" s="392" t="n">
        <v>0</v>
      </c>
      <c r="CU285" s="392" t="n">
        <v>0</v>
      </c>
      <c r="CV285" s="392" t="n">
        <v>0</v>
      </c>
      <c r="CW285" s="392" t="n">
        <v>0</v>
      </c>
      <c r="CX285" s="392" t="n">
        <v>0</v>
      </c>
      <c r="CY285" s="392" t="n">
        <v>0</v>
      </c>
      <c r="CZ285" s="392" t="n">
        <v>0</v>
      </c>
      <c r="DA285" s="392" t="n">
        <v>0</v>
      </c>
      <c r="DB285" s="392" t="n">
        <v>0</v>
      </c>
      <c r="DC285" s="392" t="n">
        <v>0</v>
      </c>
      <c r="DD285" s="392" t="n">
        <v>0</v>
      </c>
      <c r="DE285" s="392" t="n">
        <v>0</v>
      </c>
    </row>
    <row r="286" ht="15" customFormat="1" customHeight="1" s="380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Format="1" customHeight="1" s="380">
      <c r="A287" s="382" t="n"/>
      <c r="B287" s="392" t="n"/>
      <c r="C287" s="392" t="n"/>
      <c r="D287" s="392" t="n"/>
      <c r="E287" s="392" t="n"/>
      <c r="F287" s="392" t="n"/>
      <c r="G287" s="392" t="n"/>
      <c r="H287" s="392" t="n"/>
      <c r="I287" s="392" t="n"/>
      <c r="J287" s="392" t="n"/>
      <c r="K287" s="392" t="n"/>
      <c r="L287" s="392" t="n"/>
      <c r="M287" s="392" t="n"/>
      <c r="N287" s="392" t="n"/>
      <c r="O287" s="392" t="n"/>
      <c r="P287" s="392" t="n"/>
      <c r="Q287" s="392" t="n"/>
      <c r="R287" s="392" t="n"/>
      <c r="S287" s="392" t="n"/>
      <c r="T287" s="392" t="n"/>
      <c r="U287" s="392" t="n"/>
      <c r="V287" s="392" t="n"/>
      <c r="W287" s="392" t="n"/>
      <c r="X287" s="392" t="n"/>
      <c r="Y287" s="392" t="n"/>
      <c r="Z287" s="392" t="n"/>
      <c r="AA287" s="392" t="n"/>
      <c r="AB287" s="392" t="n"/>
      <c r="AC287" s="392" t="n"/>
      <c r="AD287" s="392" t="n"/>
      <c r="AE287" s="392" t="n"/>
      <c r="AF287" s="392" t="n"/>
      <c r="AG287" s="392" t="n"/>
      <c r="AH287" s="392" t="n"/>
      <c r="AI287" s="392" t="n"/>
      <c r="AJ287" s="392" t="n"/>
      <c r="AK287" s="392" t="n"/>
      <c r="AL287" s="392" t="n"/>
      <c r="AM287" s="392" t="n"/>
      <c r="AN287" s="392" t="n"/>
      <c r="AO287" s="392" t="n"/>
      <c r="AP287" s="392" t="n"/>
      <c r="AQ287" s="392" t="n"/>
      <c r="AR287" s="392" t="n"/>
      <c r="AS287" s="392" t="n"/>
      <c r="AT287" s="392" t="n"/>
      <c r="AU287" s="392" t="n"/>
      <c r="AV287" s="392" t="n"/>
      <c r="AW287" s="392" t="n"/>
      <c r="AX287" s="392" t="n"/>
      <c r="AY287" s="392" t="n"/>
      <c r="AZ287" s="392" t="n"/>
      <c r="BA287" s="392" t="n"/>
      <c r="BB287" s="392" t="n"/>
      <c r="BC287" s="392" t="n"/>
      <c r="BD287" s="392" t="n"/>
      <c r="BE287" s="392" t="n"/>
      <c r="BF287" s="392" t="n"/>
      <c r="BG287" s="392" t="n"/>
      <c r="BH287" s="392" t="n"/>
      <c r="BI287" s="392" t="n"/>
      <c r="BJ287" s="392" t="n"/>
      <c r="BK287" s="392" t="n"/>
      <c r="BL287" s="392" t="n"/>
      <c r="BM287" s="392" t="n"/>
      <c r="BN287" s="392" t="n"/>
      <c r="BO287" s="392" t="n"/>
      <c r="BP287" s="392" t="n"/>
      <c r="BQ287" s="392" t="n"/>
      <c r="BR287" s="392" t="n"/>
      <c r="BS287" s="392" t="n"/>
      <c r="BT287" s="392" t="n"/>
      <c r="BU287" s="392" t="n"/>
      <c r="BV287" s="392" t="n"/>
      <c r="BW287" s="392" t="n"/>
      <c r="BX287" s="392" t="n"/>
      <c r="BY287" s="392" t="n"/>
      <c r="BZ287" s="392" t="n"/>
      <c r="CA287" s="392" t="n"/>
      <c r="CB287" s="392" t="n"/>
      <c r="CC287" s="392" t="n"/>
      <c r="CD287" s="392" t="n"/>
      <c r="CE287" s="392" t="n"/>
      <c r="CF287" s="392" t="n"/>
      <c r="CG287" s="392" t="n"/>
      <c r="CH287" s="392" t="n"/>
      <c r="CI287" s="392" t="n"/>
      <c r="CJ287" s="392" t="n"/>
      <c r="CK287" s="392" t="n"/>
      <c r="CL287" s="392" t="n"/>
      <c r="CM287" s="392" t="n"/>
      <c r="CN287" s="392" t="n"/>
      <c r="CO287" s="392" t="n"/>
      <c r="CP287" s="392" t="n"/>
      <c r="CQ287" s="392" t="n"/>
      <c r="CR287" s="392" t="n"/>
      <c r="CS287" s="392" t="n"/>
      <c r="CT287" s="392" t="n"/>
      <c r="CU287" s="392" t="n"/>
      <c r="CV287" s="392" t="n"/>
      <c r="CW287" s="392" t="n"/>
      <c r="CX287" s="392" t="n"/>
      <c r="CY287" s="392" t="n"/>
      <c r="CZ287" s="392" t="n"/>
      <c r="DA287" s="392" t="n"/>
      <c r="DB287" s="392" t="n"/>
      <c r="DC287" s="392" t="n"/>
      <c r="DD287" s="392" t="n"/>
      <c r="DE287" s="392" t="n"/>
    </row>
    <row r="288" ht="15" customFormat="1" customHeight="1" s="380">
      <c r="A288" s="381" t="inlineStr">
        <is>
          <t>Notes:</t>
        </is>
      </c>
      <c r="B288" s="392" t="n"/>
      <c r="C288" s="392" t="n"/>
      <c r="D288" s="392" t="n"/>
      <c r="E288" s="392" t="n"/>
      <c r="F288" s="392" t="n"/>
      <c r="G288" s="392" t="n"/>
      <c r="H288" s="392" t="n"/>
      <c r="I288" s="392" t="n"/>
      <c r="J288" s="392" t="n"/>
      <c r="K288" s="392" t="n"/>
      <c r="L288" s="392" t="n"/>
      <c r="M288" s="392" t="n"/>
      <c r="N288" s="392" t="n"/>
      <c r="O288" s="392" t="n"/>
      <c r="P288" s="392" t="n"/>
      <c r="Q288" s="392" t="n"/>
      <c r="R288" s="392" t="n"/>
      <c r="S288" s="392" t="n"/>
      <c r="T288" s="392" t="n"/>
      <c r="U288" s="392" t="n"/>
      <c r="V288" s="392" t="n"/>
      <c r="W288" s="392" t="n"/>
      <c r="X288" s="392" t="n"/>
      <c r="Y288" s="392" t="n"/>
      <c r="Z288" s="392" t="n"/>
      <c r="AA288" s="392" t="n"/>
      <c r="AB288" s="392" t="n"/>
      <c r="AC288" s="392" t="n"/>
      <c r="AD288" s="392" t="n"/>
      <c r="AE288" s="392" t="n"/>
      <c r="AF288" s="392" t="n"/>
      <c r="AG288" s="392" t="n"/>
      <c r="AH288" s="392" t="n"/>
      <c r="AI288" s="392" t="n"/>
      <c r="AJ288" s="392" t="n"/>
      <c r="AK288" s="392" t="n"/>
      <c r="AL288" s="392" t="n"/>
      <c r="AM288" s="392" t="n"/>
      <c r="AN288" s="392" t="n"/>
      <c r="AO288" s="392" t="n"/>
      <c r="AP288" s="392" t="n"/>
      <c r="AQ288" s="392" t="n"/>
      <c r="AR288" s="392" t="n"/>
      <c r="AS288" s="392" t="n"/>
      <c r="AT288" s="392" t="n"/>
      <c r="AU288" s="392" t="n"/>
      <c r="AV288" s="392" t="n"/>
      <c r="AW288" s="392" t="n"/>
      <c r="AX288" s="392" t="n"/>
      <c r="AY288" s="392" t="n"/>
      <c r="AZ288" s="392" t="n"/>
      <c r="BA288" s="392" t="n"/>
      <c r="BB288" s="392" t="n"/>
      <c r="BC288" s="392" t="n"/>
      <c r="BD288" s="392" t="n"/>
      <c r="BE288" s="392" t="n"/>
      <c r="BF288" s="392" t="n"/>
      <c r="BG288" s="392" t="n"/>
      <c r="BH288" s="392" t="n"/>
      <c r="BI288" s="392" t="n"/>
      <c r="BJ288" s="392" t="n"/>
      <c r="BK288" s="392" t="n"/>
      <c r="BL288" s="392" t="n"/>
      <c r="BM288" s="392" t="n"/>
      <c r="BN288" s="392" t="n"/>
      <c r="BO288" s="392" t="n"/>
      <c r="BP288" s="392" t="n"/>
      <c r="BQ288" s="392" t="n"/>
      <c r="BR288" s="392" t="n"/>
      <c r="BS288" s="392" t="n"/>
      <c r="BT288" s="392" t="n"/>
      <c r="BU288" s="392" t="n"/>
      <c r="BV288" s="392" t="n"/>
      <c r="BW288" s="392" t="n"/>
      <c r="BX288" s="392" t="n"/>
      <c r="BY288" s="392" t="n"/>
      <c r="BZ288" s="392" t="n"/>
      <c r="CA288" s="392" t="n"/>
      <c r="CB288" s="392" t="n"/>
      <c r="CC288" s="392" t="n"/>
      <c r="CD288" s="392" t="n"/>
      <c r="CE288" s="392" t="n"/>
      <c r="CF288" s="392" t="n"/>
      <c r="CG288" s="392" t="n"/>
      <c r="CH288" s="392" t="n"/>
      <c r="CI288" s="392" t="n"/>
      <c r="CJ288" s="392" t="n"/>
      <c r="CK288" s="392" t="n"/>
      <c r="CL288" s="392" t="n"/>
      <c r="CM288" s="392" t="n"/>
      <c r="CN288" s="392" t="n"/>
      <c r="CO288" s="392" t="n"/>
      <c r="CP288" s="392" t="n"/>
      <c r="CQ288" s="392" t="n"/>
      <c r="CR288" s="392" t="n"/>
      <c r="CS288" s="392" t="n"/>
      <c r="CT288" s="392" t="n"/>
      <c r="CU288" s="392" t="n"/>
      <c r="CV288" s="392" t="n"/>
      <c r="CW288" s="392" t="n"/>
      <c r="CX288" s="392" t="n"/>
      <c r="CY288" s="392" t="n"/>
      <c r="CZ288" s="392" t="n"/>
      <c r="DA288" s="392" t="n"/>
      <c r="DB288" s="392" t="n"/>
      <c r="DC288" s="392" t="n"/>
      <c r="DD288" s="392" t="n"/>
      <c r="DE288" s="392" t="n"/>
    </row>
    <row r="289" ht="15" customFormat="1" customHeight="1" s="380">
      <c r="A289" s="449" t="inlineStr">
        <is>
          <t>Outstanding Steyn Fee Balances Owed (paid from future LIHTC revenue):</t>
        </is>
      </c>
      <c r="B289" s="392" t="n"/>
      <c r="C289" s="392" t="n"/>
      <c r="D289" s="392" t="n"/>
      <c r="E289" s="392" t="n"/>
      <c r="F289" s="392" t="n"/>
      <c r="G289" s="392" t="n"/>
      <c r="H289" s="392" t="n"/>
      <c r="I289" s="392" t="n"/>
      <c r="J289" s="392" t="n"/>
      <c r="K289" s="392" t="n"/>
      <c r="L289" s="392" t="n"/>
      <c r="M289" s="392" t="n"/>
      <c r="N289" s="392" t="n"/>
      <c r="O289" s="392" t="n"/>
      <c r="P289" s="392" t="n"/>
      <c r="Q289" s="392" t="n"/>
      <c r="R289" s="392" t="n"/>
      <c r="S289" s="392" t="n"/>
      <c r="T289" s="392" t="n"/>
      <c r="U289" s="392" t="n"/>
      <c r="V289" s="392" t="n"/>
      <c r="W289" s="392" t="n"/>
      <c r="X289" s="392" t="n"/>
      <c r="Y289" s="392" t="n"/>
      <c r="Z289" s="392" t="n"/>
      <c r="AA289" s="392" t="n"/>
      <c r="AB289" s="392" t="n"/>
      <c r="AC289" s="392" t="n"/>
      <c r="AD289" s="392" t="n"/>
      <c r="AE289" s="392" t="n"/>
      <c r="AF289" s="392" t="n"/>
      <c r="AG289" s="392" t="n"/>
      <c r="AH289" s="392" t="n"/>
      <c r="AI289" s="392" t="n"/>
      <c r="AJ289" s="392" t="n"/>
      <c r="AK289" s="392" t="n"/>
      <c r="AL289" s="392" t="n"/>
      <c r="AM289" s="392" t="n"/>
      <c r="AN289" s="392" t="n"/>
      <c r="AO289" s="392" t="n"/>
      <c r="AP289" s="392" t="n"/>
      <c r="AQ289" s="392" t="n"/>
      <c r="AR289" s="392" t="n"/>
      <c r="AS289" s="392" t="n"/>
      <c r="AT289" s="392" t="n"/>
      <c r="AU289" s="392" t="n"/>
      <c r="AV289" s="392" t="n"/>
      <c r="AW289" s="392" t="n"/>
      <c r="AX289" s="392" t="n"/>
      <c r="AY289" s="392" t="n"/>
      <c r="AZ289" s="392" t="n"/>
      <c r="BA289" s="392" t="n"/>
      <c r="BB289" s="392" t="n"/>
      <c r="BC289" s="392" t="n"/>
      <c r="BD289" s="392" t="n"/>
      <c r="BE289" s="392" t="n"/>
      <c r="BF289" s="392" t="n"/>
      <c r="BG289" s="392" t="n"/>
      <c r="BH289" s="392" t="n"/>
      <c r="BI289" s="392" t="n"/>
      <c r="BJ289" s="392" t="n"/>
      <c r="BK289" s="392" t="n"/>
      <c r="BL289" s="392" t="n"/>
      <c r="BM289" s="392" t="n"/>
      <c r="BN289" s="392" t="n"/>
      <c r="BO289" s="392" t="n"/>
      <c r="BP289" s="392" t="n"/>
      <c r="BQ289" s="392" t="n"/>
      <c r="BR289" s="392" t="n"/>
      <c r="BS289" s="392" t="n"/>
      <c r="BT289" s="392" t="n"/>
      <c r="BU289" s="392" t="n"/>
      <c r="BV289" s="392" t="n"/>
      <c r="BW289" s="392" t="n"/>
      <c r="BX289" s="392" t="n"/>
      <c r="BY289" s="392" t="n"/>
      <c r="BZ289" s="392" t="n"/>
      <c r="CA289" s="392" t="n"/>
      <c r="CB289" s="392" t="n"/>
      <c r="CC289" s="392" t="n"/>
      <c r="CD289" s="392" t="n"/>
      <c r="CE289" s="392" t="n"/>
      <c r="CF289" s="392" t="n"/>
      <c r="CG289" s="392" t="n"/>
      <c r="CH289" s="392" t="n"/>
      <c r="CI289" s="392" t="n"/>
      <c r="CJ289" s="392" t="n"/>
      <c r="CK289" s="392" t="n"/>
      <c r="CL289" s="392" t="n"/>
      <c r="CM289" s="392" t="n"/>
      <c r="CN289" s="392" t="n"/>
      <c r="CO289" s="392" t="n"/>
      <c r="CP289" s="392" t="n"/>
      <c r="CQ289" s="392" t="n"/>
      <c r="CR289" s="392" t="n"/>
      <c r="CS289" s="392" t="n"/>
      <c r="CT289" s="392" t="n"/>
      <c r="CU289" s="392" t="n"/>
      <c r="CV289" s="392" t="n"/>
      <c r="CW289" s="392" t="n"/>
      <c r="CX289" s="392" t="n"/>
      <c r="CY289" s="392" t="n"/>
      <c r="CZ289" s="392" t="n"/>
      <c r="DA289" s="392" t="n"/>
      <c r="DB289" s="392" t="n"/>
      <c r="DC289" s="392" t="n"/>
      <c r="DD289" s="392" t="n"/>
      <c r="DE289" s="392" t="n"/>
    </row>
    <row r="290" ht="15" customFormat="1" customHeight="1" s="380">
      <c r="A290" s="450" t="inlineStr">
        <is>
          <t>3rd St: $563,546  (1% GMP + 3% liquidity requirement)</t>
        </is>
      </c>
      <c r="B290" s="392" t="n"/>
      <c r="C290" s="392" t="n"/>
      <c r="D290" s="392" t="n"/>
      <c r="E290" s="392" t="n"/>
      <c r="F290" s="392" t="n"/>
      <c r="G290" s="392" t="n"/>
      <c r="H290" s="392" t="n"/>
      <c r="I290" s="392" t="n"/>
      <c r="J290" s="392" t="n"/>
      <c r="K290" s="392" t="n"/>
      <c r="L290" s="392" t="n"/>
      <c r="M290" s="392" t="n"/>
      <c r="N290" s="392" t="n"/>
      <c r="O290" s="392" t="n"/>
      <c r="P290" s="392" t="n"/>
      <c r="Q290" s="392" t="n"/>
      <c r="R290" s="392" t="n"/>
      <c r="S290" s="392" t="n"/>
      <c r="T290" s="392" t="n"/>
      <c r="U290" s="392" t="n"/>
      <c r="V290" s="392" t="n"/>
      <c r="W290" s="392" t="n"/>
      <c r="X290" s="392" t="n"/>
      <c r="Y290" s="392" t="n"/>
      <c r="Z290" s="392" t="n"/>
      <c r="AA290" s="392" t="n"/>
      <c r="AB290" s="392" t="n"/>
      <c r="AC290" s="392" t="n"/>
      <c r="AD290" s="392" t="n"/>
      <c r="AE290" s="392" t="n"/>
      <c r="AF290" s="392" t="n"/>
      <c r="AG290" s="392" t="n"/>
      <c r="AH290" s="392" t="n"/>
      <c r="AI290" s="392" t="n"/>
      <c r="AJ290" s="392" t="n"/>
      <c r="AK290" s="392" t="n"/>
      <c r="AL290" s="392" t="n"/>
      <c r="AM290" s="392" t="n"/>
      <c r="AN290" s="392" t="n"/>
      <c r="AO290" s="392" t="n"/>
      <c r="AP290" s="392" t="n"/>
      <c r="AQ290" s="392" t="n"/>
      <c r="AR290" s="392" t="n"/>
      <c r="AS290" s="392" t="n"/>
      <c r="AT290" s="392" t="n"/>
      <c r="AU290" s="392" t="n"/>
      <c r="AV290" s="392" t="n"/>
      <c r="AW290" s="392" t="n"/>
      <c r="AX290" s="392" t="n"/>
      <c r="AY290" s="392" t="n"/>
      <c r="AZ290" s="392" t="n"/>
      <c r="BA290" s="392" t="n"/>
      <c r="BB290" s="392" t="n"/>
      <c r="BC290" s="392" t="n"/>
      <c r="BD290" s="392" t="n"/>
      <c r="BE290" s="392" t="n"/>
      <c r="BF290" s="392" t="n"/>
      <c r="BG290" s="392" t="n"/>
      <c r="BH290" s="392" t="n"/>
      <c r="BI290" s="392" t="n"/>
      <c r="BJ290" s="392" t="n"/>
      <c r="BK290" s="392" t="n"/>
      <c r="BL290" s="392" t="n"/>
      <c r="BM290" s="392" t="n"/>
      <c r="BN290" s="392" t="n"/>
      <c r="BO290" s="392" t="n"/>
      <c r="BP290" s="392" t="n"/>
      <c r="BQ290" s="392" t="n"/>
      <c r="BR290" s="392" t="n"/>
      <c r="BS290" s="392" t="n"/>
      <c r="BT290" s="392" t="n"/>
      <c r="BU290" s="392" t="n"/>
      <c r="BV290" s="392" t="n"/>
      <c r="BW290" s="392" t="n"/>
      <c r="BX290" s="392" t="n"/>
      <c r="BY290" s="392" t="n"/>
      <c r="BZ290" s="392" t="n"/>
      <c r="CA290" s="392" t="n"/>
      <c r="CB290" s="392" t="n"/>
      <c r="CC290" s="392" t="n"/>
      <c r="CD290" s="392" t="n"/>
      <c r="CE290" s="392" t="n"/>
      <c r="CF290" s="392" t="n"/>
      <c r="CG290" s="392" t="n"/>
      <c r="CH290" s="392" t="n"/>
      <c r="CI290" s="392" t="n"/>
      <c r="CJ290" s="392" t="n"/>
      <c r="CK290" s="392" t="n"/>
      <c r="CL290" s="392" t="n"/>
      <c r="CM290" s="392" t="n"/>
      <c r="CN290" s="392" t="n"/>
      <c r="CO290" s="392" t="n"/>
      <c r="CP290" s="392" t="n"/>
      <c r="CQ290" s="392" t="n"/>
      <c r="CR290" s="392" t="n"/>
      <c r="CS290" s="392" t="n"/>
      <c r="CT290" s="392" t="n"/>
      <c r="CU290" s="392" t="n"/>
      <c r="CV290" s="392" t="n"/>
      <c r="CW290" s="392" t="n"/>
      <c r="CX290" s="392" t="n"/>
      <c r="CY290" s="392" t="n"/>
      <c r="CZ290" s="392" t="n"/>
      <c r="DA290" s="392" t="n"/>
      <c r="DB290" s="392" t="n"/>
      <c r="DC290" s="392" t="n"/>
      <c r="DD290" s="392" t="n"/>
      <c r="DE290" s="392" t="n"/>
    </row>
    <row r="291" ht="15" customFormat="1" customHeight="1" s="380">
      <c r="A291" s="450" t="inlineStr">
        <is>
          <t>Francis: $579,684 paid quarterly from LIHTC revenue starting Mo 42 (Sep 2029). No PIK capital invested.</t>
        </is>
      </c>
      <c r="B291" s="392" t="n"/>
      <c r="C291" s="392" t="n"/>
      <c r="D291" s="392" t="n"/>
      <c r="E291" s="392" t="n"/>
      <c r="F291" s="392" t="n"/>
      <c r="G291" s="392" t="n"/>
      <c r="H291" s="392" t="n"/>
      <c r="I291" s="392" t="n"/>
      <c r="J291" s="392" t="n"/>
      <c r="K291" s="392" t="n"/>
      <c r="L291" s="392" t="n"/>
      <c r="M291" s="392" t="n"/>
      <c r="N291" s="392" t="n"/>
      <c r="O291" s="392" t="n"/>
      <c r="P291" s="392" t="n"/>
      <c r="Q291" s="392" t="n"/>
      <c r="R291" s="392" t="n"/>
      <c r="S291" s="392" t="n"/>
      <c r="T291" s="392" t="n"/>
      <c r="U291" s="392" t="n"/>
      <c r="V291" s="392" t="n"/>
      <c r="W291" s="392" t="n"/>
      <c r="X291" s="392" t="n"/>
      <c r="Y291" s="392" t="n"/>
      <c r="Z291" s="392" t="n"/>
      <c r="AA291" s="392" t="n"/>
      <c r="AB291" s="392" t="n"/>
      <c r="AC291" s="392" t="n"/>
      <c r="AD291" s="392" t="n"/>
      <c r="AE291" s="392" t="n"/>
      <c r="AF291" s="392" t="n"/>
      <c r="AG291" s="392" t="n"/>
      <c r="AH291" s="392" t="n"/>
      <c r="AI291" s="392" t="n"/>
      <c r="AJ291" s="392" t="n"/>
      <c r="AK291" s="392" t="n"/>
      <c r="AL291" s="392" t="n"/>
      <c r="AM291" s="392" t="n"/>
      <c r="AN291" s="392" t="n"/>
      <c r="AO291" s="392" t="n"/>
      <c r="AP291" s="392" t="n"/>
      <c r="AQ291" s="392" t="n"/>
      <c r="AR291" s="392" t="n"/>
      <c r="AS291" s="392" t="n"/>
      <c r="AT291" s="392" t="n"/>
      <c r="AU291" s="392" t="n"/>
      <c r="AV291" s="392" t="n"/>
      <c r="AW291" s="392" t="n"/>
      <c r="AX291" s="392" t="n"/>
      <c r="AY291" s="392" t="n"/>
      <c r="AZ291" s="392" t="n"/>
      <c r="BA291" s="392" t="n"/>
      <c r="BB291" s="392" t="n"/>
      <c r="BC291" s="392" t="n"/>
      <c r="BD291" s="392" t="n"/>
      <c r="BE291" s="392" t="n"/>
      <c r="BF291" s="392" t="n"/>
      <c r="BG291" s="392" t="n"/>
      <c r="BH291" s="392" t="n"/>
      <c r="BI291" s="392" t="n"/>
      <c r="BJ291" s="392" t="n"/>
      <c r="BK291" s="392" t="n"/>
      <c r="BL291" s="392" t="n"/>
      <c r="BM291" s="392" t="n"/>
      <c r="BN291" s="392" t="n"/>
      <c r="BO291" s="392" t="n"/>
      <c r="BP291" s="392" t="n"/>
      <c r="BQ291" s="392" t="n"/>
      <c r="BR291" s="392" t="n"/>
      <c r="BS291" s="392" t="n"/>
      <c r="BT291" s="392" t="n"/>
      <c r="BU291" s="392" t="n"/>
      <c r="BV291" s="392" t="n"/>
      <c r="BW291" s="392" t="n"/>
      <c r="BX291" s="392" t="n"/>
      <c r="BY291" s="392" t="n"/>
      <c r="BZ291" s="392" t="n"/>
      <c r="CA291" s="392" t="n"/>
      <c r="CB291" s="392" t="n"/>
      <c r="CC291" s="392" t="n"/>
      <c r="CD291" s="392" t="n"/>
      <c r="CE291" s="392" t="n"/>
      <c r="CF291" s="392" t="n"/>
      <c r="CG291" s="392" t="n"/>
      <c r="CH291" s="392" t="n"/>
      <c r="CI291" s="392" t="n"/>
      <c r="CJ291" s="392" t="n"/>
      <c r="CK291" s="392" t="n"/>
      <c r="CL291" s="392" t="n"/>
      <c r="CM291" s="392" t="n"/>
      <c r="CN291" s="392" t="n"/>
      <c r="CO291" s="392" t="n"/>
      <c r="CP291" s="392" t="n"/>
      <c r="CQ291" s="392" t="n"/>
      <c r="CR291" s="392" t="n"/>
      <c r="CS291" s="392" t="n"/>
      <c r="CT291" s="392" t="n"/>
      <c r="CU291" s="392" t="n"/>
      <c r="CV291" s="392" t="n"/>
      <c r="CW291" s="392" t="n"/>
      <c r="CX291" s="392" t="n"/>
      <c r="CY291" s="392" t="n"/>
      <c r="CZ291" s="392" t="n"/>
      <c r="DA291" s="392" t="n"/>
      <c r="DB291" s="392" t="n"/>
      <c r="DC291" s="392" t="n"/>
      <c r="DD291" s="392" t="n"/>
      <c r="DE291" s="392" t="n"/>
    </row>
    <row r="292" ht="15" customFormat="1" customHeight="1" s="380">
      <c r="A292" s="450" t="inlineStr">
        <is>
          <t>Reseda: $602,668 paid quarterly from LIHTC revenue starting Mo 45 (Dec 2029). Deal distributes $1,450,000 at project start (Mo 13, Apr 2027).</t>
        </is>
      </c>
      <c r="B292" s="392" t="n"/>
      <c r="C292" s="392" t="n"/>
      <c r="D292" s="392" t="n"/>
      <c r="E292" s="392" t="n"/>
      <c r="F292" s="392" t="n"/>
      <c r="G292" s="392" t="n"/>
      <c r="H292" s="392" t="n"/>
      <c r="I292" s="392" t="n"/>
      <c r="J292" s="392" t="n"/>
      <c r="K292" s="392" t="n"/>
      <c r="L292" s="392" t="n"/>
      <c r="M292" s="392" t="n"/>
      <c r="N292" s="392" t="n"/>
      <c r="O292" s="392" t="n"/>
      <c r="P292" s="392" t="n"/>
      <c r="Q292" s="392" t="n"/>
      <c r="R292" s="392" t="n"/>
      <c r="S292" s="392" t="n"/>
      <c r="T292" s="392" t="n"/>
      <c r="U292" s="392" t="n"/>
      <c r="V292" s="392" t="n"/>
      <c r="W292" s="392" t="n"/>
      <c r="X292" s="392" t="n"/>
      <c r="Y292" s="392" t="n"/>
      <c r="Z292" s="392" t="n"/>
      <c r="AA292" s="392" t="n"/>
      <c r="AB292" s="392" t="n"/>
      <c r="AC292" s="392" t="n"/>
      <c r="AD292" s="392" t="n"/>
      <c r="AE292" s="392" t="n"/>
      <c r="AF292" s="392" t="n"/>
      <c r="AG292" s="392" t="n"/>
      <c r="AH292" s="392" t="n"/>
      <c r="AI292" s="392" t="n"/>
      <c r="AJ292" s="392" t="n"/>
      <c r="AK292" s="392" t="n"/>
      <c r="AL292" s="392" t="n"/>
      <c r="AM292" s="392" t="n"/>
      <c r="AN292" s="392" t="n"/>
      <c r="AO292" s="392" t="n"/>
      <c r="AP292" s="392" t="n"/>
      <c r="AQ292" s="392" t="n"/>
      <c r="AR292" s="392" t="n"/>
      <c r="AS292" s="392" t="n"/>
      <c r="AT292" s="392" t="n"/>
      <c r="AU292" s="392" t="n"/>
      <c r="AV292" s="392" t="n"/>
      <c r="AW292" s="392" t="n"/>
      <c r="AX292" s="392" t="n"/>
      <c r="AY292" s="392" t="n"/>
      <c r="AZ292" s="392" t="n"/>
      <c r="BA292" s="392" t="n"/>
      <c r="BB292" s="392" t="n"/>
      <c r="BC292" s="392" t="n"/>
      <c r="BD292" s="392" t="n"/>
      <c r="BE292" s="392" t="n"/>
      <c r="BF292" s="392" t="n"/>
      <c r="BG292" s="392" t="n"/>
      <c r="BH292" s="392" t="n"/>
      <c r="BI292" s="392" t="n"/>
      <c r="BJ292" s="392" t="n"/>
      <c r="BK292" s="392" t="n"/>
      <c r="BL292" s="392" t="n"/>
      <c r="BM292" s="392" t="n"/>
      <c r="BN292" s="392" t="n"/>
      <c r="BO292" s="392" t="n"/>
      <c r="BP292" s="392" t="n"/>
      <c r="BQ292" s="392" t="n"/>
      <c r="BR292" s="392" t="n"/>
      <c r="BS292" s="392" t="n"/>
      <c r="BT292" s="392" t="n"/>
      <c r="BU292" s="392" t="n"/>
      <c r="BV292" s="392" t="n"/>
      <c r="BW292" s="392" t="n"/>
      <c r="BX292" s="392" t="n"/>
      <c r="BY292" s="392" t="n"/>
      <c r="BZ292" s="392" t="n"/>
      <c r="CA292" s="392" t="n"/>
      <c r="CB292" s="392" t="n"/>
      <c r="CC292" s="392" t="n"/>
      <c r="CD292" s="392" t="n"/>
      <c r="CE292" s="392" t="n"/>
      <c r="CF292" s="392" t="n"/>
      <c r="CG292" s="392" t="n"/>
      <c r="CH292" s="392" t="n"/>
      <c r="CI292" s="392" t="n"/>
      <c r="CJ292" s="392" t="n"/>
      <c r="CK292" s="392" t="n"/>
      <c r="CL292" s="392" t="n"/>
      <c r="CM292" s="392" t="n"/>
      <c r="CN292" s="392" t="n"/>
      <c r="CO292" s="392" t="n"/>
      <c r="CP292" s="392" t="n"/>
      <c r="CQ292" s="392" t="n"/>
      <c r="CR292" s="392" t="n"/>
      <c r="CS292" s="392" t="n"/>
      <c r="CT292" s="392" t="n"/>
      <c r="CU292" s="392" t="n"/>
      <c r="CV292" s="392" t="n"/>
      <c r="CW292" s="392" t="n"/>
      <c r="CX292" s="392" t="n"/>
      <c r="CY292" s="392" t="n"/>
      <c r="CZ292" s="392" t="n"/>
      <c r="DA292" s="392" t="n"/>
      <c r="DB292" s="392" t="n"/>
      <c r="DC292" s="392" t="n"/>
      <c r="DD292" s="392" t="n"/>
      <c r="DE292" s="392" t="n"/>
    </row>
    <row r="293" ht="15" customFormat="1" customHeight="1" s="380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Format="1" customHeight="1" s="380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Format="1" customHeight="1" s="380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Format="1" customHeight="1" s="380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2" t="n"/>
      <c r="C296" s="392" t="n"/>
      <c r="D296" s="392" t="n"/>
      <c r="E296" s="392" t="n"/>
      <c r="F296" s="392" t="n"/>
      <c r="G296" s="392" t="n"/>
      <c r="H296" s="392" t="n"/>
      <c r="I296" s="392" t="n"/>
      <c r="J296" s="392" t="n"/>
      <c r="K296" s="392" t="n"/>
      <c r="L296" s="392" t="n"/>
      <c r="M296" s="392" t="n"/>
      <c r="N296" s="392" t="n"/>
      <c r="O296" s="392" t="n"/>
      <c r="P296" s="392" t="n"/>
      <c r="Q296" s="392" t="n"/>
      <c r="R296" s="392" t="n"/>
      <c r="S296" s="392" t="n"/>
      <c r="T296" s="392" t="n"/>
      <c r="U296" s="392" t="n"/>
      <c r="V296" s="392" t="n"/>
      <c r="W296" s="392" t="n"/>
      <c r="X296" s="392" t="n"/>
      <c r="Y296" s="392" t="n"/>
      <c r="Z296" s="392" t="n"/>
      <c r="AA296" s="392" t="n"/>
      <c r="AB296" s="392" t="n"/>
      <c r="AC296" s="392" t="n"/>
      <c r="AD296" s="392" t="n"/>
      <c r="AE296" s="392" t="n"/>
      <c r="AF296" s="392" t="n"/>
      <c r="AG296" s="392" t="n"/>
      <c r="AH296" s="392" t="n"/>
      <c r="AI296" s="392" t="n"/>
      <c r="AJ296" s="392" t="n"/>
      <c r="AK296" s="392" t="n"/>
      <c r="AL296" s="392" t="n"/>
      <c r="AM296" s="392" t="n"/>
      <c r="AN296" s="392" t="n"/>
      <c r="AO296" s="392" t="n"/>
      <c r="AP296" s="392" t="n"/>
      <c r="AQ296" s="392" t="n"/>
      <c r="AR296" s="392" t="n"/>
      <c r="AS296" s="392" t="n"/>
      <c r="AT296" s="392" t="n"/>
      <c r="AU296" s="392" t="n"/>
      <c r="AV296" s="392" t="n"/>
      <c r="AW296" s="392" t="n"/>
      <c r="AX296" s="392" t="n"/>
      <c r="AY296" s="392" t="n"/>
      <c r="AZ296" s="392" t="n"/>
      <c r="BA296" s="392" t="n"/>
      <c r="BB296" s="392" t="n"/>
      <c r="BC296" s="392" t="n"/>
      <c r="BD296" s="392" t="n"/>
      <c r="BE296" s="392" t="n"/>
      <c r="BF296" s="392" t="n"/>
      <c r="BG296" s="392" t="n"/>
      <c r="BH296" s="392" t="n"/>
      <c r="BI296" s="392" t="n"/>
      <c r="BJ296" s="392" t="n"/>
      <c r="BK296" s="392" t="n"/>
      <c r="BL296" s="392" t="n"/>
      <c r="BM296" s="392" t="n"/>
      <c r="BN296" s="392" t="n"/>
      <c r="BO296" s="392" t="n"/>
      <c r="BP296" s="392" t="n"/>
      <c r="BQ296" s="392" t="n"/>
      <c r="BR296" s="392" t="n"/>
      <c r="BS296" s="392" t="n"/>
      <c r="BT296" s="392" t="n"/>
      <c r="BU296" s="392" t="n"/>
      <c r="BV296" s="392" t="n"/>
      <c r="BW296" s="392" t="n"/>
      <c r="BX296" s="392" t="n"/>
      <c r="BY296" s="392" t="n"/>
      <c r="BZ296" s="392" t="n"/>
      <c r="CA296" s="392" t="n"/>
      <c r="CB296" s="392" t="n"/>
      <c r="CC296" s="392" t="n"/>
      <c r="CD296" s="392" t="n"/>
      <c r="CE296" s="392" t="n"/>
      <c r="CF296" s="392" t="n"/>
      <c r="CG296" s="392" t="n"/>
      <c r="CH296" s="392" t="n"/>
      <c r="CI296" s="392" t="n"/>
      <c r="CJ296" s="392" t="n"/>
      <c r="CK296" s="392" t="n"/>
      <c r="CL296" s="392" t="n"/>
      <c r="CM296" s="392" t="n"/>
      <c r="CN296" s="392" t="n"/>
      <c r="CO296" s="392" t="n"/>
      <c r="CP296" s="392" t="n"/>
      <c r="CQ296" s="392" t="n"/>
      <c r="CR296" s="392" t="n"/>
      <c r="CS296" s="392" t="n"/>
      <c r="CT296" s="392" t="n"/>
      <c r="CU296" s="392" t="n"/>
      <c r="CV296" s="392" t="n"/>
      <c r="CW296" s="392" t="n"/>
      <c r="CX296" s="392" t="n"/>
      <c r="CY296" s="392" t="n"/>
      <c r="CZ296" s="392" t="n"/>
      <c r="DA296" s="392" t="n"/>
      <c r="DB296" s="392" t="n"/>
      <c r="DC296" s="392" t="n"/>
      <c r="DD296" s="392" t="n"/>
      <c r="DE296" s="392" t="n"/>
    </row>
    <row r="297" ht="15" customFormat="1" customHeight="1" s="380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2" t="n"/>
      <c r="C297" s="392" t="n"/>
      <c r="D297" s="392" t="n"/>
      <c r="E297" s="392" t="n"/>
      <c r="F297" s="392" t="n"/>
      <c r="G297" s="392" t="n"/>
      <c r="H297" s="392" t="n"/>
      <c r="I297" s="392" t="n"/>
      <c r="J297" s="392" t="n"/>
      <c r="K297" s="392" t="n"/>
      <c r="L297" s="392" t="n"/>
      <c r="M297" s="392" t="n"/>
      <c r="N297" s="392" t="n"/>
      <c r="O297" s="392" t="n"/>
      <c r="P297" s="392" t="n"/>
      <c r="Q297" s="392" t="n"/>
      <c r="R297" s="392" t="n"/>
      <c r="S297" s="392" t="n"/>
      <c r="T297" s="392" t="n"/>
      <c r="U297" s="392" t="n"/>
      <c r="V297" s="392" t="n"/>
      <c r="W297" s="392" t="n"/>
      <c r="X297" s="392" t="n"/>
      <c r="Y297" s="392" t="n"/>
      <c r="Z297" s="392" t="n"/>
      <c r="AA297" s="392" t="n"/>
      <c r="AB297" s="392" t="n"/>
      <c r="AC297" s="392" t="n"/>
      <c r="AD297" s="392" t="n"/>
      <c r="AE297" s="392" t="n"/>
      <c r="AF297" s="392" t="n"/>
      <c r="AG297" s="392" t="n"/>
      <c r="AH297" s="392" t="n"/>
      <c r="AI297" s="392" t="n"/>
      <c r="AJ297" s="392" t="n"/>
      <c r="AK297" s="392" t="n"/>
      <c r="AL297" s="392" t="n"/>
      <c r="AM297" s="392" t="n"/>
      <c r="AN297" s="392" t="n"/>
      <c r="AO297" s="392" t="n"/>
      <c r="AP297" s="392" t="n"/>
      <c r="AQ297" s="392" t="n"/>
      <c r="AR297" s="392" t="n"/>
      <c r="AS297" s="392" t="n"/>
      <c r="AT297" s="392" t="n"/>
      <c r="AU297" s="392" t="n"/>
      <c r="AV297" s="392" t="n"/>
      <c r="AW297" s="392" t="n"/>
      <c r="AX297" s="392" t="n"/>
      <c r="AY297" s="392" t="n"/>
      <c r="AZ297" s="392" t="n"/>
      <c r="BA297" s="392" t="n"/>
      <c r="BB297" s="392" t="n"/>
      <c r="BC297" s="392" t="n"/>
      <c r="BD297" s="392" t="n"/>
      <c r="BE297" s="392" t="n"/>
      <c r="BF297" s="392" t="n"/>
      <c r="BG297" s="392" t="n"/>
      <c r="BH297" s="392" t="n"/>
      <c r="BI297" s="392" t="n"/>
      <c r="BJ297" s="392" t="n"/>
      <c r="BK297" s="392" t="n"/>
      <c r="BL297" s="392" t="n"/>
      <c r="BM297" s="392" t="n"/>
      <c r="BN297" s="392" t="n"/>
      <c r="BO297" s="392" t="n"/>
      <c r="BP297" s="392" t="n"/>
      <c r="BQ297" s="392" t="n"/>
      <c r="BR297" s="392" t="n"/>
      <c r="BS297" s="392" t="n"/>
      <c r="BT297" s="392" t="n"/>
      <c r="BU297" s="392" t="n"/>
      <c r="BV297" s="392" t="n"/>
      <c r="BW297" s="392" t="n"/>
      <c r="BX297" s="392" t="n"/>
      <c r="BY297" s="392" t="n"/>
      <c r="BZ297" s="392" t="n"/>
      <c r="CA297" s="392" t="n"/>
      <c r="CB297" s="392" t="n"/>
      <c r="CC297" s="392" t="n"/>
      <c r="CD297" s="392" t="n"/>
      <c r="CE297" s="392" t="n"/>
      <c r="CF297" s="392" t="n"/>
      <c r="CG297" s="392" t="n"/>
      <c r="CH297" s="392" t="n"/>
      <c r="CI297" s="392" t="n"/>
      <c r="CJ297" s="392" t="n"/>
      <c r="CK297" s="392" t="n"/>
      <c r="CL297" s="392" t="n"/>
      <c r="CM297" s="392" t="n"/>
      <c r="CN297" s="392" t="n"/>
      <c r="CO297" s="392" t="n"/>
      <c r="CP297" s="392" t="n"/>
      <c r="CQ297" s="392" t="n"/>
      <c r="CR297" s="392" t="n"/>
      <c r="CS297" s="392" t="n"/>
      <c r="CT297" s="392" t="n"/>
      <c r="CU297" s="392" t="n"/>
      <c r="CV297" s="392" t="n"/>
      <c r="CW297" s="392" t="n"/>
      <c r="CX297" s="392" t="n"/>
      <c r="CY297" s="392" t="n"/>
      <c r="CZ297" s="392" t="n"/>
      <c r="DA297" s="392" t="n"/>
      <c r="DB297" s="392" t="n"/>
      <c r="DC297" s="392" t="n"/>
      <c r="DD297" s="392" t="n"/>
      <c r="DE297" s="392" t="n"/>
    </row>
    <row r="298" ht="15" customFormat="1" customHeight="1" s="380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Format="1" customHeight="1" s="380">
      <c r="A299" s="402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Format="1" customHeight="1" s="380">
      <c r="A300" s="397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2" t="n"/>
      <c r="J300" s="392" t="n"/>
      <c r="K300" s="392" t="n"/>
      <c r="L300" s="392" t="n"/>
      <c r="M300" s="392" t="n"/>
      <c r="N300" s="392" t="n"/>
      <c r="O300" s="392" t="n"/>
      <c r="P300" s="392" t="n"/>
      <c r="Q300" s="392" t="n"/>
      <c r="R300" s="392" t="n"/>
      <c r="S300" s="392" t="n"/>
      <c r="T300" s="392" t="n"/>
      <c r="U300" s="392" t="n"/>
      <c r="V300" s="392" t="n"/>
      <c r="W300" s="392" t="n"/>
      <c r="X300" s="392" t="n"/>
      <c r="Y300" s="392" t="n"/>
      <c r="Z300" s="392" t="n"/>
      <c r="AA300" s="392" t="n"/>
      <c r="AB300" s="392" t="n"/>
      <c r="AC300" s="392" t="n"/>
      <c r="AD300" s="392" t="n"/>
      <c r="AE300" s="392" t="n"/>
      <c r="AF300" s="392" t="n"/>
      <c r="AG300" s="392" t="n"/>
      <c r="AH300" s="392" t="n"/>
      <c r="AI300" s="392" t="n"/>
      <c r="AJ300" s="392" t="n"/>
      <c r="AK300" s="392" t="n"/>
      <c r="AL300" s="392" t="n"/>
      <c r="AM300" s="392" t="n"/>
      <c r="AN300" s="392" t="n"/>
      <c r="AO300" s="392" t="n"/>
      <c r="AP300" s="392" t="n"/>
      <c r="AQ300" s="392" t="n"/>
      <c r="AR300" s="392" t="n"/>
      <c r="AS300" s="392" t="n"/>
      <c r="AT300" s="392" t="n"/>
      <c r="AU300" s="392" t="n"/>
      <c r="AV300" s="392" t="n"/>
      <c r="AW300" s="392" t="n"/>
      <c r="AX300" s="392" t="n"/>
      <c r="AY300" s="392" t="n"/>
      <c r="AZ300" s="392" t="n"/>
      <c r="BA300" s="392" t="n"/>
      <c r="BB300" s="392" t="n"/>
      <c r="BC300" s="392" t="n"/>
      <c r="BD300" s="392" t="n"/>
      <c r="BE300" s="392" t="n"/>
      <c r="BF300" s="392" t="n"/>
      <c r="BG300" s="392" t="n"/>
      <c r="BH300" s="392" t="n"/>
      <c r="BI300" s="392" t="n"/>
      <c r="BJ300" s="392" t="n"/>
      <c r="BK300" s="392" t="n"/>
      <c r="BL300" s="392" t="n"/>
      <c r="BM300" s="392" t="n"/>
      <c r="BN300" s="392" t="n"/>
      <c r="BO300" s="392" t="n"/>
      <c r="BP300" s="392" t="n"/>
      <c r="BQ300" s="392" t="n"/>
      <c r="BR300" s="392" t="n"/>
      <c r="BS300" s="392" t="n"/>
      <c r="BT300" s="392" t="n"/>
      <c r="BU300" s="392" t="n"/>
      <c r="BV300" s="392" t="n"/>
      <c r="BW300" s="392" t="n"/>
      <c r="BX300" s="392" t="n"/>
      <c r="BY300" s="392" t="n"/>
      <c r="BZ300" s="392" t="n"/>
      <c r="CA300" s="392" t="n"/>
      <c r="CB300" s="392" t="n"/>
      <c r="CC300" s="392" t="n"/>
      <c r="CD300" s="392" t="n"/>
      <c r="CE300" s="392" t="n"/>
      <c r="CF300" s="392" t="n"/>
      <c r="CG300" s="392" t="n"/>
      <c r="CH300" s="392" t="n"/>
      <c r="CI300" s="392" t="n"/>
      <c r="CJ300" s="392" t="n"/>
      <c r="CK300" s="392" t="n"/>
      <c r="CL300" s="392" t="n"/>
      <c r="CM300" s="392" t="n"/>
      <c r="CN300" s="392" t="n"/>
      <c r="CO300" s="392" t="n"/>
      <c r="CP300" s="392" t="n"/>
      <c r="CQ300" s="392" t="n"/>
      <c r="CR300" s="392" t="n"/>
      <c r="CS300" s="392" t="n"/>
      <c r="CT300" s="392" t="n"/>
      <c r="CU300" s="392" t="n"/>
      <c r="CV300" s="392" t="n"/>
      <c r="CW300" s="392" t="n"/>
      <c r="CX300" s="392" t="n"/>
      <c r="CY300" s="392" t="n"/>
      <c r="CZ300" s="392" t="n"/>
      <c r="DA300" s="392" t="n"/>
      <c r="DB300" s="392" t="n"/>
      <c r="DC300" s="392" t="n"/>
      <c r="DD300" s="392" t="n"/>
      <c r="DE300" s="392" t="n"/>
    </row>
    <row r="301" ht="15" customFormat="1" customHeight="1" s="380">
      <c r="A301" s="397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2" t="n"/>
      <c r="J301" s="392" t="n"/>
      <c r="K301" s="392" t="n"/>
      <c r="L301" s="392" t="n"/>
      <c r="M301" s="392" t="n"/>
      <c r="N301" s="392" t="n"/>
      <c r="O301" s="392" t="n"/>
      <c r="P301" s="392" t="n"/>
      <c r="Q301" s="392" t="n"/>
      <c r="R301" s="392" t="n"/>
      <c r="S301" s="392" t="n"/>
      <c r="T301" s="392" t="n"/>
      <c r="U301" s="392" t="n"/>
      <c r="V301" s="392" t="n"/>
      <c r="W301" s="392" t="n"/>
      <c r="X301" s="392" t="n"/>
      <c r="Y301" s="392" t="n"/>
      <c r="Z301" s="392" t="n"/>
      <c r="AA301" s="392" t="n"/>
      <c r="AB301" s="392" t="n"/>
      <c r="AC301" s="392" t="n"/>
      <c r="AD301" s="392" t="n"/>
      <c r="AE301" s="392" t="n"/>
      <c r="AF301" s="392" t="n"/>
      <c r="AG301" s="392" t="n"/>
      <c r="AH301" s="392" t="n"/>
      <c r="AI301" s="392" t="n"/>
      <c r="AJ301" s="392" t="n"/>
      <c r="AK301" s="392" t="n"/>
      <c r="AL301" s="392" t="n"/>
      <c r="AM301" s="392" t="n"/>
      <c r="AN301" s="392" t="n"/>
      <c r="AO301" s="392" t="n"/>
      <c r="AP301" s="392" t="n"/>
      <c r="AQ301" s="392" t="n"/>
      <c r="AR301" s="392" t="n"/>
      <c r="AS301" s="392" t="n"/>
      <c r="AT301" s="392" t="n"/>
      <c r="AU301" s="392" t="n"/>
      <c r="AV301" s="392" t="n"/>
      <c r="AW301" s="392" t="n"/>
      <c r="AX301" s="392" t="n"/>
      <c r="AY301" s="392" t="n"/>
      <c r="AZ301" s="392" t="n"/>
      <c r="BA301" s="392" t="n"/>
      <c r="BB301" s="392" t="n"/>
      <c r="BC301" s="392" t="n"/>
      <c r="BD301" s="392" t="n"/>
      <c r="BE301" s="392" t="n"/>
      <c r="BF301" s="392" t="n"/>
      <c r="BG301" s="392" t="n"/>
      <c r="BH301" s="392" t="n"/>
      <c r="BI301" s="392" t="n"/>
      <c r="BJ301" s="392" t="n"/>
      <c r="BK301" s="392" t="n"/>
      <c r="BL301" s="392" t="n"/>
      <c r="BM301" s="392" t="n"/>
      <c r="BN301" s="392" t="n"/>
      <c r="BO301" s="392" t="n"/>
      <c r="BP301" s="392" t="n"/>
      <c r="BQ301" s="392" t="n"/>
      <c r="BR301" s="392" t="n"/>
      <c r="BS301" s="392" t="n"/>
      <c r="BT301" s="392" t="n"/>
      <c r="BU301" s="392" t="n"/>
      <c r="BV301" s="392" t="n"/>
      <c r="BW301" s="392" t="n"/>
      <c r="BX301" s="392" t="n"/>
      <c r="BY301" s="392" t="n"/>
      <c r="BZ301" s="392" t="n"/>
      <c r="CA301" s="392" t="n"/>
      <c r="CB301" s="392" t="n"/>
      <c r="CC301" s="392" t="n"/>
      <c r="CD301" s="392" t="n"/>
      <c r="CE301" s="392" t="n"/>
      <c r="CF301" s="392" t="n"/>
      <c r="CG301" s="392" t="n"/>
      <c r="CH301" s="392" t="n"/>
      <c r="CI301" s="392" t="n"/>
      <c r="CJ301" s="392" t="n"/>
      <c r="CK301" s="392" t="n"/>
      <c r="CL301" s="392" t="n"/>
      <c r="CM301" s="392" t="n"/>
      <c r="CN301" s="392" t="n"/>
      <c r="CO301" s="392" t="n"/>
      <c r="CP301" s="392" t="n"/>
      <c r="CQ301" s="392" t="n"/>
      <c r="CR301" s="392" t="n"/>
      <c r="CS301" s="392" t="n"/>
      <c r="CT301" s="392" t="n"/>
      <c r="CU301" s="392" t="n"/>
      <c r="CV301" s="392" t="n"/>
      <c r="CW301" s="392" t="n"/>
      <c r="CX301" s="392" t="n"/>
      <c r="CY301" s="392" t="n"/>
      <c r="CZ301" s="392" t="n"/>
      <c r="DA301" s="392" t="n"/>
      <c r="DB301" s="392" t="n"/>
      <c r="DC301" s="392" t="n"/>
      <c r="DD301" s="392" t="n"/>
      <c r="DE301" s="392" t="n"/>
    </row>
    <row r="302" ht="15" customFormat="1" customHeight="1" s="380">
      <c r="A302" s="397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2" t="n"/>
      <c r="J302" s="392" t="n"/>
      <c r="K302" s="392" t="n"/>
      <c r="L302" s="392" t="n"/>
      <c r="M302" s="392" t="n"/>
      <c r="N302" s="392" t="n"/>
      <c r="O302" s="392" t="n"/>
      <c r="P302" s="392" t="n"/>
      <c r="Q302" s="392" t="n"/>
      <c r="R302" s="392" t="n"/>
      <c r="S302" s="392" t="n"/>
      <c r="T302" s="392" t="n"/>
      <c r="U302" s="392" t="n"/>
      <c r="V302" s="392" t="n"/>
      <c r="W302" s="392" t="n"/>
      <c r="X302" s="392" t="n"/>
      <c r="Y302" s="392" t="n"/>
      <c r="Z302" s="392" t="n"/>
      <c r="AA302" s="392" t="n"/>
      <c r="AB302" s="392" t="n"/>
      <c r="AC302" s="392" t="n"/>
      <c r="AD302" s="392" t="n"/>
      <c r="AE302" s="392" t="n"/>
      <c r="AF302" s="392" t="n"/>
      <c r="AG302" s="392" t="n"/>
      <c r="AH302" s="392" t="n"/>
      <c r="AI302" s="392" t="n"/>
      <c r="AJ302" s="392" t="n"/>
      <c r="AK302" s="392" t="n"/>
      <c r="AL302" s="392" t="n"/>
      <c r="AM302" s="392" t="n"/>
      <c r="AN302" s="392" t="n"/>
      <c r="AO302" s="392" t="n"/>
      <c r="AP302" s="392" t="n"/>
      <c r="AQ302" s="392" t="n"/>
      <c r="AR302" s="392" t="n"/>
      <c r="AS302" s="392" t="n"/>
      <c r="AT302" s="392" t="n"/>
      <c r="AU302" s="392" t="n"/>
      <c r="AV302" s="392" t="n"/>
      <c r="AW302" s="392" t="n"/>
      <c r="AX302" s="392" t="n"/>
      <c r="AY302" s="392" t="n"/>
      <c r="AZ302" s="392" t="n"/>
      <c r="BA302" s="392" t="n"/>
      <c r="BB302" s="392" t="n"/>
      <c r="BC302" s="392" t="n"/>
      <c r="BD302" s="392" t="n"/>
      <c r="BE302" s="392" t="n"/>
      <c r="BF302" s="392" t="n"/>
      <c r="BG302" s="392" t="n"/>
      <c r="BH302" s="392" t="n"/>
      <c r="BI302" s="392" t="n"/>
      <c r="BJ302" s="392" t="n"/>
      <c r="BK302" s="392" t="n"/>
      <c r="BL302" s="392" t="n"/>
      <c r="BM302" s="392" t="n"/>
      <c r="BN302" s="392" t="n"/>
      <c r="BO302" s="392" t="n"/>
      <c r="BP302" s="392" t="n"/>
      <c r="BQ302" s="392" t="n"/>
      <c r="BR302" s="392" t="n"/>
      <c r="BS302" s="392" t="n"/>
      <c r="BT302" s="392" t="n"/>
      <c r="BU302" s="392" t="n"/>
      <c r="BV302" s="392" t="n"/>
      <c r="BW302" s="392" t="n"/>
      <c r="BX302" s="392" t="n"/>
      <c r="BY302" s="392" t="n"/>
      <c r="BZ302" s="392" t="n"/>
      <c r="CA302" s="392" t="n"/>
      <c r="CB302" s="392" t="n"/>
      <c r="CC302" s="392" t="n"/>
      <c r="CD302" s="392" t="n"/>
      <c r="CE302" s="392" t="n"/>
      <c r="CF302" s="392" t="n"/>
      <c r="CG302" s="392" t="n"/>
      <c r="CH302" s="392" t="n"/>
      <c r="CI302" s="392" t="n"/>
      <c r="CJ302" s="392" t="n"/>
      <c r="CK302" s="392" t="n"/>
      <c r="CL302" s="392" t="n"/>
      <c r="CM302" s="392" t="n"/>
      <c r="CN302" s="392" t="n"/>
      <c r="CO302" s="392" t="n"/>
      <c r="CP302" s="392" t="n"/>
      <c r="CQ302" s="392" t="n"/>
      <c r="CR302" s="392" t="n"/>
      <c r="CS302" s="392" t="n"/>
      <c r="CT302" s="392" t="n"/>
      <c r="CU302" s="392" t="n"/>
      <c r="CV302" s="392" t="n"/>
      <c r="CW302" s="392" t="n"/>
      <c r="CX302" s="392" t="n"/>
      <c r="CY302" s="392" t="n"/>
      <c r="CZ302" s="392" t="n"/>
      <c r="DA302" s="392" t="n"/>
      <c r="DB302" s="392" t="n"/>
      <c r="DC302" s="392" t="n"/>
      <c r="DD302" s="392" t="n"/>
      <c r="DE302" s="392" t="n"/>
    </row>
    <row r="303" ht="15" customFormat="1" customHeight="1" s="380">
      <c r="A303" s="397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2" t="n"/>
      <c r="J303" s="392" t="n"/>
      <c r="K303" s="392" t="n"/>
      <c r="L303" s="392" t="n"/>
      <c r="M303" s="392" t="n"/>
      <c r="N303" s="392" t="n"/>
      <c r="O303" s="392" t="n"/>
      <c r="P303" s="392" t="n"/>
      <c r="Q303" s="392" t="n"/>
      <c r="R303" s="392" t="n"/>
      <c r="S303" s="392" t="n"/>
      <c r="T303" s="392" t="n"/>
      <c r="U303" s="392" t="n"/>
      <c r="V303" s="392" t="n"/>
      <c r="W303" s="392" t="n"/>
      <c r="X303" s="392" t="n"/>
      <c r="Y303" s="392" t="n"/>
      <c r="Z303" s="392" t="n"/>
      <c r="AA303" s="392" t="n"/>
      <c r="AB303" s="392" t="n"/>
      <c r="AC303" s="392" t="n"/>
      <c r="AD303" s="392" t="n"/>
      <c r="AE303" s="392" t="n"/>
      <c r="AF303" s="392" t="n"/>
      <c r="AG303" s="392" t="n"/>
      <c r="AH303" s="392" t="n"/>
      <c r="AI303" s="392" t="n"/>
      <c r="AJ303" s="392" t="n"/>
      <c r="AK303" s="392" t="n"/>
      <c r="AL303" s="392" t="n"/>
      <c r="AM303" s="392" t="n"/>
      <c r="AN303" s="392" t="n"/>
      <c r="AO303" s="392" t="n"/>
      <c r="AP303" s="392" t="n"/>
      <c r="AQ303" s="392" t="n"/>
      <c r="AR303" s="392" t="n"/>
      <c r="AS303" s="392" t="n"/>
      <c r="AT303" s="392" t="n"/>
      <c r="AU303" s="392" t="n"/>
      <c r="AV303" s="392" t="n"/>
      <c r="AW303" s="392" t="n"/>
      <c r="AX303" s="392" t="n"/>
      <c r="AY303" s="392" t="n"/>
      <c r="AZ303" s="392" t="n"/>
      <c r="BA303" s="392" t="n"/>
      <c r="BB303" s="392" t="n"/>
      <c r="BC303" s="392" t="n"/>
      <c r="BD303" s="392" t="n"/>
      <c r="BE303" s="392" t="n"/>
      <c r="BF303" s="392" t="n"/>
      <c r="BG303" s="392" t="n"/>
      <c r="BH303" s="392" t="n"/>
      <c r="BI303" s="392" t="n"/>
      <c r="BJ303" s="392" t="n"/>
      <c r="BK303" s="392" t="n"/>
      <c r="BL303" s="392" t="n"/>
      <c r="BM303" s="392" t="n"/>
      <c r="BN303" s="392" t="n"/>
      <c r="BO303" s="392" t="n"/>
      <c r="BP303" s="392" t="n"/>
      <c r="BQ303" s="392" t="n"/>
      <c r="BR303" s="392" t="n"/>
      <c r="BS303" s="392" t="n"/>
      <c r="BT303" s="392" t="n"/>
      <c r="BU303" s="392" t="n"/>
      <c r="BV303" s="392" t="n"/>
      <c r="BW303" s="392" t="n"/>
      <c r="BX303" s="392" t="n"/>
      <c r="BY303" s="392" t="n"/>
      <c r="BZ303" s="392" t="n"/>
      <c r="CA303" s="392" t="n"/>
      <c r="CB303" s="392" t="n"/>
      <c r="CC303" s="392" t="n"/>
      <c r="CD303" s="392" t="n"/>
      <c r="CE303" s="392" t="n"/>
      <c r="CF303" s="392" t="n"/>
      <c r="CG303" s="392" t="n"/>
      <c r="CH303" s="392" t="n"/>
      <c r="CI303" s="392" t="n"/>
      <c r="CJ303" s="392" t="n"/>
      <c r="CK303" s="392" t="n"/>
      <c r="CL303" s="392" t="n"/>
      <c r="CM303" s="392" t="n"/>
      <c r="CN303" s="392" t="n"/>
      <c r="CO303" s="392" t="n"/>
      <c r="CP303" s="392" t="n"/>
      <c r="CQ303" s="392" t="n"/>
      <c r="CR303" s="392" t="n"/>
      <c r="CS303" s="392" t="n"/>
      <c r="CT303" s="392" t="n"/>
      <c r="CU303" s="392" t="n"/>
      <c r="CV303" s="392" t="n"/>
      <c r="CW303" s="392" t="n"/>
      <c r="CX303" s="392" t="n"/>
      <c r="CY303" s="392" t="n"/>
      <c r="CZ303" s="392" t="n"/>
      <c r="DA303" s="392" t="n"/>
      <c r="DB303" s="392" t="n"/>
      <c r="DC303" s="392" t="n"/>
      <c r="DD303" s="392" t="n"/>
      <c r="DE303" s="392" t="n"/>
    </row>
    <row r="304" ht="15" customFormat="1" customHeight="1" s="380">
      <c r="A304" s="397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2" t="n"/>
      <c r="J304" s="392" t="n"/>
      <c r="K304" s="392" t="n"/>
      <c r="L304" s="392" t="n"/>
      <c r="M304" s="392" t="n"/>
      <c r="N304" s="392" t="n"/>
      <c r="O304" s="392" t="n"/>
      <c r="P304" s="392" t="n"/>
      <c r="Q304" s="392" t="n"/>
      <c r="R304" s="392" t="n"/>
      <c r="S304" s="392" t="n"/>
      <c r="T304" s="392" t="n"/>
      <c r="U304" s="392" t="n"/>
      <c r="V304" s="392" t="n"/>
      <c r="W304" s="392" t="n"/>
      <c r="X304" s="392" t="n"/>
      <c r="Y304" s="392" t="n"/>
      <c r="Z304" s="392" t="n"/>
      <c r="AA304" s="392" t="n"/>
      <c r="AB304" s="392" t="n"/>
      <c r="AC304" s="392" t="n"/>
      <c r="AD304" s="392" t="n"/>
      <c r="AE304" s="392" t="n"/>
      <c r="AF304" s="392" t="n"/>
      <c r="AG304" s="392" t="n"/>
      <c r="AH304" s="392" t="n"/>
      <c r="AI304" s="392" t="n"/>
      <c r="AJ304" s="392" t="n"/>
      <c r="AK304" s="392" t="n"/>
      <c r="AL304" s="392" t="n"/>
      <c r="AM304" s="392" t="n"/>
      <c r="AN304" s="392" t="n"/>
      <c r="AO304" s="392" t="n"/>
      <c r="AP304" s="392" t="n"/>
      <c r="AQ304" s="392" t="n"/>
      <c r="AR304" s="392" t="n"/>
      <c r="AS304" s="392" t="n"/>
      <c r="AT304" s="392" t="n"/>
      <c r="AU304" s="392" t="n"/>
      <c r="AV304" s="392" t="n"/>
      <c r="AW304" s="392" t="n"/>
      <c r="AX304" s="392" t="n"/>
      <c r="AY304" s="392" t="n"/>
      <c r="AZ304" s="392" t="n"/>
      <c r="BA304" s="392" t="n"/>
      <c r="BB304" s="392" t="n"/>
      <c r="BC304" s="392" t="n"/>
      <c r="BD304" s="392" t="n"/>
      <c r="BE304" s="392" t="n"/>
      <c r="BF304" s="392" t="n"/>
      <c r="BG304" s="392" t="n"/>
      <c r="BH304" s="392" t="n"/>
      <c r="BI304" s="392" t="n"/>
      <c r="BJ304" s="392" t="n"/>
      <c r="BK304" s="392" t="n"/>
      <c r="BL304" s="392" t="n"/>
      <c r="BM304" s="392" t="n"/>
      <c r="BN304" s="392" t="n"/>
      <c r="BO304" s="392" t="n"/>
      <c r="BP304" s="392" t="n"/>
      <c r="BQ304" s="392" t="n"/>
      <c r="BR304" s="392" t="n"/>
      <c r="BS304" s="392" t="n"/>
      <c r="BT304" s="392" t="n"/>
      <c r="BU304" s="392" t="n"/>
      <c r="BV304" s="392" t="n"/>
      <c r="BW304" s="392" t="n"/>
      <c r="BX304" s="392" t="n"/>
      <c r="BY304" s="392" t="n"/>
      <c r="BZ304" s="392" t="n"/>
      <c r="CA304" s="392" t="n"/>
      <c r="CB304" s="392" t="n"/>
      <c r="CC304" s="392" t="n"/>
      <c r="CD304" s="392" t="n"/>
      <c r="CE304" s="392" t="n"/>
      <c r="CF304" s="392" t="n"/>
      <c r="CG304" s="392" t="n"/>
      <c r="CH304" s="392" t="n"/>
      <c r="CI304" s="392" t="n"/>
      <c r="CJ304" s="392" t="n"/>
      <c r="CK304" s="392" t="n"/>
      <c r="CL304" s="392" t="n"/>
      <c r="CM304" s="392" t="n"/>
      <c r="CN304" s="392" t="n"/>
      <c r="CO304" s="392" t="n"/>
      <c r="CP304" s="392" t="n"/>
      <c r="CQ304" s="392" t="n"/>
      <c r="CR304" s="392" t="n"/>
      <c r="CS304" s="392" t="n"/>
      <c r="CT304" s="392" t="n"/>
      <c r="CU304" s="392" t="n"/>
      <c r="CV304" s="392" t="n"/>
      <c r="CW304" s="392" t="n"/>
      <c r="CX304" s="392" t="n"/>
      <c r="CY304" s="392" t="n"/>
      <c r="CZ304" s="392" t="n"/>
      <c r="DA304" s="392" t="n"/>
      <c r="DB304" s="392" t="n"/>
      <c r="DC304" s="392" t="n"/>
      <c r="DD304" s="392" t="n"/>
      <c r="DE304" s="392" t="n"/>
    </row>
    <row r="305" ht="15" customFormat="1" customHeight="1" s="380">
      <c r="A305" s="397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Format="1" customHeight="1" s="380">
      <c r="A306" s="397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2" t="n"/>
      <c r="J306" s="392" t="n"/>
      <c r="K306" s="392" t="n"/>
      <c r="L306" s="392" t="n"/>
      <c r="M306" s="392" t="n"/>
      <c r="N306" s="392" t="n"/>
      <c r="O306" s="392" t="n"/>
      <c r="P306" s="392" t="n"/>
      <c r="Q306" s="392" t="n"/>
      <c r="R306" s="392" t="n"/>
      <c r="S306" s="392" t="n"/>
      <c r="T306" s="392" t="n"/>
      <c r="U306" s="392" t="n"/>
      <c r="V306" s="392" t="n"/>
      <c r="W306" s="392" t="n"/>
      <c r="X306" s="392" t="n"/>
      <c r="Y306" s="392" t="n"/>
      <c r="Z306" s="392" t="n"/>
      <c r="AA306" s="392" t="n"/>
      <c r="AB306" s="392" t="n"/>
      <c r="AC306" s="392" t="n"/>
      <c r="AD306" s="392" t="n"/>
      <c r="AE306" s="392" t="n"/>
      <c r="AF306" s="392" t="n"/>
      <c r="AG306" s="392" t="n"/>
      <c r="AH306" s="392" t="n"/>
      <c r="AI306" s="392" t="n"/>
      <c r="AJ306" s="392" t="n"/>
      <c r="AK306" s="392" t="n"/>
      <c r="AL306" s="392" t="n"/>
      <c r="AM306" s="392" t="n"/>
      <c r="AN306" s="392" t="n"/>
      <c r="AO306" s="392" t="n"/>
      <c r="AP306" s="392" t="n"/>
      <c r="AQ306" s="392" t="n"/>
      <c r="AR306" s="392" t="n"/>
      <c r="AS306" s="392" t="n"/>
      <c r="AT306" s="392" t="n"/>
      <c r="AU306" s="392" t="n"/>
      <c r="AV306" s="392" t="n"/>
      <c r="AW306" s="392" t="n"/>
      <c r="AX306" s="392" t="n"/>
      <c r="AY306" s="392" t="n"/>
      <c r="AZ306" s="392" t="n"/>
      <c r="BA306" s="392" t="n"/>
      <c r="BB306" s="392" t="n"/>
      <c r="BC306" s="392" t="n"/>
      <c r="BD306" s="392" t="n"/>
      <c r="BE306" s="392" t="n"/>
      <c r="BF306" s="392" t="n"/>
      <c r="BG306" s="392" t="n"/>
      <c r="BH306" s="392" t="n"/>
      <c r="BI306" s="392" t="n"/>
      <c r="BJ306" s="392" t="n"/>
      <c r="BK306" s="392" t="n"/>
      <c r="BL306" s="392" t="n"/>
      <c r="BM306" s="392" t="n"/>
      <c r="BN306" s="392" t="n"/>
      <c r="BO306" s="392" t="n"/>
      <c r="BP306" s="392" t="n"/>
      <c r="BQ306" s="392" t="n"/>
      <c r="BR306" s="392" t="n"/>
      <c r="BS306" s="392" t="n"/>
      <c r="BT306" s="392" t="n"/>
      <c r="BU306" s="392" t="n"/>
      <c r="BV306" s="392" t="n"/>
      <c r="BW306" s="392" t="n"/>
      <c r="BX306" s="392" t="n"/>
      <c r="BY306" s="392" t="n"/>
      <c r="BZ306" s="392" t="n"/>
      <c r="CA306" s="392" t="n"/>
      <c r="CB306" s="392" t="n"/>
      <c r="CC306" s="392" t="n"/>
      <c r="CD306" s="392" t="n"/>
      <c r="CE306" s="392" t="n"/>
      <c r="CF306" s="392" t="n"/>
      <c r="CG306" s="392" t="n"/>
      <c r="CH306" s="392" t="n"/>
      <c r="CI306" s="392" t="n"/>
      <c r="CJ306" s="392" t="n"/>
      <c r="CK306" s="392" t="n"/>
      <c r="CL306" s="392" t="n"/>
      <c r="CM306" s="392" t="n"/>
      <c r="CN306" s="392" t="n"/>
      <c r="CO306" s="392" t="n"/>
      <c r="CP306" s="392" t="n"/>
      <c r="CQ306" s="392" t="n"/>
      <c r="CR306" s="392" t="n"/>
      <c r="CS306" s="392" t="n"/>
      <c r="CT306" s="392" t="n"/>
      <c r="CU306" s="392" t="n"/>
      <c r="CV306" s="392" t="n"/>
      <c r="CW306" s="392" t="n"/>
      <c r="CX306" s="392" t="n"/>
      <c r="CY306" s="392" t="n"/>
      <c r="CZ306" s="392" t="n"/>
      <c r="DA306" s="392" t="n"/>
      <c r="DB306" s="392" t="n"/>
      <c r="DC306" s="392" t="n"/>
      <c r="DD306" s="392" t="n"/>
      <c r="DE306" s="392" t="n"/>
    </row>
    <row r="307" ht="15" customFormat="1" customHeight="1" s="380">
      <c r="A307" s="397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2" t="n"/>
      <c r="J307" s="392" t="n"/>
      <c r="K307" s="392" t="n"/>
      <c r="L307" s="392" t="n"/>
      <c r="M307" s="392" t="n"/>
      <c r="N307" s="392" t="n"/>
      <c r="O307" s="392" t="n"/>
      <c r="P307" s="392" t="n"/>
      <c r="Q307" s="392" t="n"/>
      <c r="R307" s="392" t="n"/>
      <c r="S307" s="392" t="n"/>
      <c r="T307" s="392" t="n"/>
      <c r="U307" s="392" t="n"/>
      <c r="V307" s="392" t="n"/>
      <c r="W307" s="392" t="n"/>
      <c r="X307" s="392" t="n"/>
      <c r="Y307" s="392" t="n"/>
      <c r="Z307" s="392" t="n"/>
      <c r="AA307" s="392" t="n"/>
      <c r="AB307" s="392" t="n"/>
      <c r="AC307" s="392" t="n"/>
      <c r="AD307" s="392" t="n"/>
      <c r="AE307" s="392" t="n"/>
      <c r="AF307" s="392" t="n"/>
      <c r="AG307" s="392" t="n"/>
      <c r="AH307" s="392" t="n"/>
      <c r="AI307" s="392" t="n"/>
      <c r="AJ307" s="392" t="n"/>
      <c r="AK307" s="392" t="n"/>
      <c r="AL307" s="392" t="n"/>
      <c r="AM307" s="392" t="n"/>
      <c r="AN307" s="392" t="n"/>
      <c r="AO307" s="392" t="n"/>
      <c r="AP307" s="392" t="n"/>
      <c r="AQ307" s="392" t="n"/>
      <c r="AR307" s="392" t="n"/>
      <c r="AS307" s="392" t="n"/>
      <c r="AT307" s="392" t="n"/>
      <c r="AU307" s="392" t="n"/>
      <c r="AV307" s="392" t="n"/>
      <c r="AW307" s="392" t="n"/>
      <c r="AX307" s="392" t="n"/>
      <c r="AY307" s="392" t="n"/>
      <c r="AZ307" s="392" t="n"/>
      <c r="BA307" s="392" t="n"/>
      <c r="BB307" s="392" t="n"/>
      <c r="BC307" s="392" t="n"/>
      <c r="BD307" s="392" t="n"/>
      <c r="BE307" s="392" t="n"/>
      <c r="BF307" s="392" t="n"/>
      <c r="BG307" s="392" t="n"/>
      <c r="BH307" s="392" t="n"/>
      <c r="BI307" s="392" t="n"/>
      <c r="BJ307" s="392" t="n"/>
      <c r="BK307" s="392" t="n"/>
      <c r="BL307" s="392" t="n"/>
      <c r="BM307" s="392" t="n"/>
      <c r="BN307" s="392" t="n"/>
      <c r="BO307" s="392" t="n"/>
      <c r="BP307" s="392" t="n"/>
      <c r="BQ307" s="392" t="n"/>
      <c r="BR307" s="392" t="n"/>
      <c r="BS307" s="392" t="n"/>
      <c r="BT307" s="392" t="n"/>
      <c r="BU307" s="392" t="n"/>
      <c r="BV307" s="392" t="n"/>
      <c r="BW307" s="392" t="n"/>
      <c r="BX307" s="392" t="n"/>
      <c r="BY307" s="392" t="n"/>
      <c r="BZ307" s="392" t="n"/>
      <c r="CA307" s="392" t="n"/>
      <c r="CB307" s="392" t="n"/>
      <c r="CC307" s="392" t="n"/>
      <c r="CD307" s="392" t="n"/>
      <c r="CE307" s="392" t="n"/>
      <c r="CF307" s="392" t="n"/>
      <c r="CG307" s="392" t="n"/>
      <c r="CH307" s="392" t="n"/>
      <c r="CI307" s="392" t="n"/>
      <c r="CJ307" s="392" t="n"/>
      <c r="CK307" s="392" t="n"/>
      <c r="CL307" s="392" t="n"/>
      <c r="CM307" s="392" t="n"/>
      <c r="CN307" s="392" t="n"/>
      <c r="CO307" s="392" t="n"/>
      <c r="CP307" s="392" t="n"/>
      <c r="CQ307" s="392" t="n"/>
      <c r="CR307" s="392" t="n"/>
      <c r="CS307" s="392" t="n"/>
      <c r="CT307" s="392" t="n"/>
      <c r="CU307" s="392" t="n"/>
      <c r="CV307" s="392" t="n"/>
      <c r="CW307" s="392" t="n"/>
      <c r="CX307" s="392" t="n"/>
      <c r="CY307" s="392" t="n"/>
      <c r="CZ307" s="392" t="n"/>
      <c r="DA307" s="392" t="n"/>
      <c r="DB307" s="392" t="n"/>
      <c r="DC307" s="392" t="n"/>
      <c r="DD307" s="392" t="n"/>
      <c r="DE307" s="392" t="n"/>
    </row>
    <row r="308" ht="15" customFormat="1" customHeight="1" s="380">
      <c r="A308" s="397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2" t="n"/>
      <c r="J308" s="392" t="n"/>
      <c r="K308" s="392" t="n"/>
      <c r="L308" s="392" t="n"/>
      <c r="M308" s="392" t="n"/>
      <c r="N308" s="392" t="n"/>
      <c r="O308" s="392" t="n"/>
      <c r="P308" s="392" t="n"/>
      <c r="Q308" s="392" t="n"/>
      <c r="R308" s="392" t="n"/>
      <c r="S308" s="392" t="n"/>
      <c r="T308" s="392" t="n"/>
      <c r="U308" s="392" t="n"/>
      <c r="V308" s="392" t="n"/>
      <c r="W308" s="392" t="n"/>
      <c r="X308" s="392" t="n"/>
      <c r="Y308" s="392" t="n"/>
      <c r="Z308" s="392" t="n"/>
      <c r="AA308" s="392" t="n"/>
      <c r="AB308" s="392" t="n"/>
      <c r="AC308" s="392" t="n"/>
      <c r="AD308" s="392" t="n"/>
      <c r="AE308" s="392" t="n"/>
      <c r="AF308" s="392" t="n"/>
      <c r="AG308" s="392" t="n"/>
      <c r="AH308" s="392" t="n"/>
      <c r="AI308" s="392" t="n"/>
      <c r="AJ308" s="392" t="n"/>
      <c r="AK308" s="392" t="n"/>
      <c r="AL308" s="392" t="n"/>
      <c r="AM308" s="392" t="n"/>
      <c r="AN308" s="392" t="n"/>
      <c r="AO308" s="392" t="n"/>
      <c r="AP308" s="392" t="n"/>
      <c r="AQ308" s="392" t="n"/>
      <c r="AR308" s="392" t="n"/>
      <c r="AS308" s="392" t="n"/>
      <c r="AT308" s="392" t="n"/>
      <c r="AU308" s="392" t="n"/>
      <c r="AV308" s="392" t="n"/>
      <c r="AW308" s="392" t="n"/>
      <c r="AX308" s="392" t="n"/>
      <c r="AY308" s="392" t="n"/>
      <c r="AZ308" s="392" t="n"/>
      <c r="BA308" s="392" t="n"/>
      <c r="BB308" s="392" t="n"/>
      <c r="BC308" s="392" t="n"/>
      <c r="BD308" s="392" t="n"/>
      <c r="BE308" s="392" t="n"/>
      <c r="BF308" s="392" t="n"/>
      <c r="BG308" s="392" t="n"/>
      <c r="BH308" s="392" t="n"/>
      <c r="BI308" s="392" t="n"/>
      <c r="BJ308" s="392" t="n"/>
      <c r="BK308" s="392" t="n"/>
      <c r="BL308" s="392" t="n"/>
      <c r="BM308" s="392" t="n"/>
      <c r="BN308" s="392" t="n"/>
      <c r="BO308" s="392" t="n"/>
      <c r="BP308" s="392" t="n"/>
      <c r="BQ308" s="392" t="n"/>
      <c r="BR308" s="392" t="n"/>
      <c r="BS308" s="392" t="n"/>
      <c r="BT308" s="392" t="n"/>
      <c r="BU308" s="392" t="n"/>
      <c r="BV308" s="392" t="n"/>
      <c r="BW308" s="392" t="n"/>
      <c r="BX308" s="392" t="n"/>
      <c r="BY308" s="392" t="n"/>
      <c r="BZ308" s="392" t="n"/>
      <c r="CA308" s="392" t="n"/>
      <c r="CB308" s="392" t="n"/>
      <c r="CC308" s="392" t="n"/>
      <c r="CD308" s="392" t="n"/>
      <c r="CE308" s="392" t="n"/>
      <c r="CF308" s="392" t="n"/>
      <c r="CG308" s="392" t="n"/>
      <c r="CH308" s="392" t="n"/>
      <c r="CI308" s="392" t="n"/>
      <c r="CJ308" s="392" t="n"/>
      <c r="CK308" s="392" t="n"/>
      <c r="CL308" s="392" t="n"/>
      <c r="CM308" s="392" t="n"/>
      <c r="CN308" s="392" t="n"/>
      <c r="CO308" s="392" t="n"/>
      <c r="CP308" s="392" t="n"/>
      <c r="CQ308" s="392" t="n"/>
      <c r="CR308" s="392" t="n"/>
      <c r="CS308" s="392" t="n"/>
      <c r="CT308" s="392" t="n"/>
      <c r="CU308" s="392" t="n"/>
      <c r="CV308" s="392" t="n"/>
      <c r="CW308" s="392" t="n"/>
      <c r="CX308" s="392" t="n"/>
      <c r="CY308" s="392" t="n"/>
      <c r="CZ308" s="392" t="n"/>
      <c r="DA308" s="392" t="n"/>
      <c r="DB308" s="392" t="n"/>
      <c r="DC308" s="392" t="n"/>
      <c r="DD308" s="392" t="n"/>
      <c r="DE308" s="392" t="n"/>
    </row>
    <row r="309" ht="15" customFormat="1" customHeight="1" s="380">
      <c r="A309" s="397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2" t="n"/>
      <c r="J309" s="392" t="n"/>
      <c r="K309" s="392" t="n"/>
      <c r="L309" s="392" t="n"/>
      <c r="M309" s="392" t="n"/>
      <c r="N309" s="392" t="n"/>
      <c r="O309" s="392" t="n"/>
      <c r="P309" s="392" t="n"/>
      <c r="Q309" s="392" t="n"/>
      <c r="R309" s="392" t="n"/>
      <c r="S309" s="392" t="n"/>
      <c r="T309" s="392" t="n"/>
      <c r="U309" s="392" t="n"/>
      <c r="V309" s="392" t="n"/>
      <c r="W309" s="392" t="n"/>
      <c r="X309" s="392" t="n"/>
      <c r="Y309" s="392" t="n"/>
      <c r="Z309" s="392" t="n"/>
      <c r="AA309" s="392" t="n"/>
      <c r="AB309" s="392" t="n"/>
      <c r="AC309" s="392" t="n"/>
      <c r="AD309" s="392" t="n"/>
      <c r="AE309" s="392" t="n"/>
      <c r="AF309" s="392" t="n"/>
      <c r="AG309" s="392" t="n"/>
      <c r="AH309" s="392" t="n"/>
      <c r="AI309" s="392" t="n"/>
      <c r="AJ309" s="392" t="n"/>
      <c r="AK309" s="392" t="n"/>
      <c r="AL309" s="392" t="n"/>
      <c r="AM309" s="392" t="n"/>
      <c r="AN309" s="392" t="n"/>
      <c r="AO309" s="392" t="n"/>
      <c r="AP309" s="392" t="n"/>
      <c r="AQ309" s="392" t="n"/>
      <c r="AR309" s="392" t="n"/>
      <c r="AS309" s="392" t="n"/>
      <c r="AT309" s="392" t="n"/>
      <c r="AU309" s="392" t="n"/>
      <c r="AV309" s="392" t="n"/>
      <c r="AW309" s="392" t="n"/>
      <c r="AX309" s="392" t="n"/>
      <c r="AY309" s="392" t="n"/>
      <c r="AZ309" s="392" t="n"/>
      <c r="BA309" s="392" t="n"/>
      <c r="BB309" s="392" t="n"/>
      <c r="BC309" s="392" t="n"/>
      <c r="BD309" s="392" t="n"/>
      <c r="BE309" s="392" t="n"/>
      <c r="BF309" s="392" t="n"/>
      <c r="BG309" s="392" t="n"/>
      <c r="BH309" s="392" t="n"/>
      <c r="BI309" s="392" t="n"/>
      <c r="BJ309" s="392" t="n"/>
      <c r="BK309" s="392" t="n"/>
      <c r="BL309" s="392" t="n"/>
      <c r="BM309" s="392" t="n"/>
      <c r="BN309" s="392" t="n"/>
      <c r="BO309" s="392" t="n"/>
      <c r="BP309" s="392" t="n"/>
      <c r="BQ309" s="392" t="n"/>
      <c r="BR309" s="392" t="n"/>
      <c r="BS309" s="392" t="n"/>
      <c r="BT309" s="392" t="n"/>
      <c r="BU309" s="392" t="n"/>
      <c r="BV309" s="392" t="n"/>
      <c r="BW309" s="392" t="n"/>
      <c r="BX309" s="392" t="n"/>
      <c r="BY309" s="392" t="n"/>
      <c r="BZ309" s="392" t="n"/>
      <c r="CA309" s="392" t="n"/>
      <c r="CB309" s="392" t="n"/>
      <c r="CC309" s="392" t="n"/>
      <c r="CD309" s="392" t="n"/>
      <c r="CE309" s="392" t="n"/>
      <c r="CF309" s="392" t="n"/>
      <c r="CG309" s="392" t="n"/>
      <c r="CH309" s="392" t="n"/>
      <c r="CI309" s="392" t="n"/>
      <c r="CJ309" s="392" t="n"/>
      <c r="CK309" s="392" t="n"/>
      <c r="CL309" s="392" t="n"/>
      <c r="CM309" s="392" t="n"/>
      <c r="CN309" s="392" t="n"/>
      <c r="CO309" s="392" t="n"/>
      <c r="CP309" s="392" t="n"/>
      <c r="CQ309" s="392" t="n"/>
      <c r="CR309" s="392" t="n"/>
      <c r="CS309" s="392" t="n"/>
      <c r="CT309" s="392" t="n"/>
      <c r="CU309" s="392" t="n"/>
      <c r="CV309" s="392" t="n"/>
      <c r="CW309" s="392" t="n"/>
      <c r="CX309" s="392" t="n"/>
      <c r="CY309" s="392" t="n"/>
      <c r="CZ309" s="392" t="n"/>
      <c r="DA309" s="392" t="n"/>
      <c r="DB309" s="392" t="n"/>
      <c r="DC309" s="392" t="n"/>
      <c r="DD309" s="392" t="n"/>
      <c r="DE309" s="392" t="n"/>
    </row>
    <row r="310" ht="15" customFormat="1" customHeight="1" s="380">
      <c r="A310" s="397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Format="1" customHeight="1" s="380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Format="1" customHeight="1" s="380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Format="1" customHeight="1" s="380">
      <c r="A313" s="402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Format="1" customHeight="1" s="380">
      <c r="A314" s="397" t="inlineStr">
        <is>
          <t>Actual per B/S</t>
        </is>
      </c>
      <c r="B314" s="392">
        <f>IF(B300="","",B300)</f>
        <v/>
      </c>
      <c r="C314" s="392">
        <f>IF(C300="","",C300)</f>
        <v/>
      </c>
      <c r="D314" s="392">
        <f>IF(D300="","",D300)</f>
        <v/>
      </c>
      <c r="E314" s="392">
        <f>IF(E300="","",E300)</f>
        <v/>
      </c>
      <c r="F314" s="392">
        <f>IF(F300="","",F300)</f>
        <v/>
      </c>
      <c r="G314" s="392">
        <f>IF(G300="","",G300)</f>
        <v/>
      </c>
      <c r="H314" s="392">
        <f>IF(H300="","",H300)</f>
        <v/>
      </c>
      <c r="I314" s="392">
        <f>IF(I300="","",I300)</f>
        <v/>
      </c>
      <c r="J314" s="392">
        <f>IF(J300="","",J300)</f>
        <v/>
      </c>
      <c r="K314" s="392">
        <f>IF(K300="","",K300)</f>
        <v/>
      </c>
      <c r="L314" s="392">
        <f>IF(L300="","",L300)</f>
        <v/>
      </c>
      <c r="M314" s="392">
        <f>IF(M300="","",M300)</f>
        <v/>
      </c>
      <c r="N314" s="392">
        <f>IF(N300="","",N300)</f>
        <v/>
      </c>
      <c r="O314" s="392">
        <f>IF(O300="","",O300)</f>
        <v/>
      </c>
      <c r="P314" s="392">
        <f>IF(P300="","",P300)</f>
        <v/>
      </c>
      <c r="Q314" s="392">
        <f>IF(Q300="","",Q300)</f>
        <v/>
      </c>
      <c r="R314" s="392">
        <f>IF(R300="","",R300)</f>
        <v/>
      </c>
      <c r="S314" s="392">
        <f>IF(S300="","",S300)</f>
        <v/>
      </c>
      <c r="T314" s="392">
        <f>IF(T300="","",T300)</f>
        <v/>
      </c>
      <c r="U314" s="392">
        <f>IF(U300="","",U300)</f>
        <v/>
      </c>
      <c r="V314" s="392">
        <f>IF(V300="","",V300)</f>
        <v/>
      </c>
      <c r="W314" s="392">
        <f>IF(W300="","",W300)</f>
        <v/>
      </c>
      <c r="X314" s="392">
        <f>IF(X300="","",X300)</f>
        <v/>
      </c>
      <c r="Y314" s="392">
        <f>IF(Y300="","",Y300)</f>
        <v/>
      </c>
      <c r="Z314" s="392">
        <f>IF(Z300="","",Z300)</f>
        <v/>
      </c>
      <c r="AA314" s="392">
        <f>IF(AA300="","",AA300)</f>
        <v/>
      </c>
      <c r="AB314" s="392">
        <f>IF(AB300="","",AB300)</f>
        <v/>
      </c>
      <c r="AC314" s="392">
        <f>IF(AC300="","",AC300)</f>
        <v/>
      </c>
      <c r="AD314" s="392">
        <f>IF(AD300="","",AD300)</f>
        <v/>
      </c>
      <c r="AE314" s="392">
        <f>IF(AE300="","",AE300)</f>
        <v/>
      </c>
      <c r="AF314" s="392">
        <f>IF(AF300="","",AF300)</f>
        <v/>
      </c>
      <c r="AG314" s="392">
        <f>IF(AG300="","",AG300)</f>
        <v/>
      </c>
      <c r="AH314" s="392">
        <f>IF(AH300="","",AH300)</f>
        <v/>
      </c>
      <c r="AI314" s="392">
        <f>IF(AI300="","",AI300)</f>
        <v/>
      </c>
      <c r="AJ314" s="392">
        <f>IF(AJ300="","",AJ300)</f>
        <v/>
      </c>
      <c r="AK314" s="392">
        <f>IF(AK300="","",AK300)</f>
        <v/>
      </c>
      <c r="AL314" s="392">
        <f>IF(AL300="","",AL300)</f>
        <v/>
      </c>
      <c r="AM314" s="392">
        <f>IF(AM300="","",AM300)</f>
        <v/>
      </c>
      <c r="AN314" s="392">
        <f>IF(AN300="","",AN300)</f>
        <v/>
      </c>
      <c r="AO314" s="392">
        <f>IF(AO300="","",AO300)</f>
        <v/>
      </c>
      <c r="AP314" s="392">
        <f>IF(AP300="","",AP300)</f>
        <v/>
      </c>
      <c r="AQ314" s="392">
        <f>IF(AQ300="","",AQ300)</f>
        <v/>
      </c>
      <c r="AR314" s="392">
        <f>IF(AR300="","",AR300)</f>
        <v/>
      </c>
      <c r="AS314" s="392">
        <f>IF(AS300="","",AS300)</f>
        <v/>
      </c>
      <c r="AT314" s="392">
        <f>IF(AT300="","",AT300)</f>
        <v/>
      </c>
      <c r="AU314" s="392">
        <f>IF(AU300="","",AU300)</f>
        <v/>
      </c>
      <c r="AV314" s="392">
        <f>IF(AV300="","",AV300)</f>
        <v/>
      </c>
      <c r="AW314" s="392">
        <f>IF(AW300="","",AW300)</f>
        <v/>
      </c>
      <c r="AX314" s="392">
        <f>IF(AX300="","",AX300)</f>
        <v/>
      </c>
      <c r="AY314" s="392">
        <f>IF(AY300="","",AY300)</f>
        <v/>
      </c>
      <c r="AZ314" s="392">
        <f>IF(AZ300="","",AZ300)</f>
        <v/>
      </c>
      <c r="BA314" s="392">
        <f>IF(BA300="","",BA300)</f>
        <v/>
      </c>
      <c r="BB314" s="392">
        <f>IF(BB300="","",BB300)</f>
        <v/>
      </c>
      <c r="BC314" s="392">
        <f>IF(BC300="","",BC300)</f>
        <v/>
      </c>
      <c r="BD314" s="392">
        <f>IF(BD300="","",BD300)</f>
        <v/>
      </c>
      <c r="BE314" s="392">
        <f>IF(BE300="","",BE300)</f>
        <v/>
      </c>
      <c r="BF314" s="392">
        <f>IF(BF300="","",BF300)</f>
        <v/>
      </c>
      <c r="BG314" s="392">
        <f>IF(BG300="","",BG300)</f>
        <v/>
      </c>
      <c r="BH314" s="392">
        <f>IF(BH300="","",BH300)</f>
        <v/>
      </c>
      <c r="BI314" s="392">
        <f>IF(BI300="","",BI300)</f>
        <v/>
      </c>
      <c r="BJ314" s="392">
        <f>IF(BJ300="","",BJ300)</f>
        <v/>
      </c>
      <c r="BK314" s="392">
        <f>IF(BK300="","",BK300)</f>
        <v/>
      </c>
      <c r="BL314" s="392">
        <f>IF(BL300="","",BL300)</f>
        <v/>
      </c>
      <c r="BM314" s="392">
        <f>IF(BM300="","",BM300)</f>
        <v/>
      </c>
      <c r="BN314" s="392">
        <f>IF(BN300="","",BN300)</f>
        <v/>
      </c>
      <c r="BO314" s="392">
        <f>IF(BO300="","",BO300)</f>
        <v/>
      </c>
      <c r="BP314" s="392">
        <f>IF(BP300="","",BP300)</f>
        <v/>
      </c>
      <c r="BQ314" s="392">
        <f>IF(BQ300="","",BQ300)</f>
        <v/>
      </c>
      <c r="BR314" s="392">
        <f>IF(BR300="","",BR300)</f>
        <v/>
      </c>
      <c r="BS314" s="392">
        <f>IF(BS300="","",BS300)</f>
        <v/>
      </c>
      <c r="BT314" s="392">
        <f>IF(BT300="","",BT300)</f>
        <v/>
      </c>
      <c r="BU314" s="392">
        <f>IF(BU300="","",BU300)</f>
        <v/>
      </c>
      <c r="BV314" s="392">
        <f>IF(BV300="","",BV300)</f>
        <v/>
      </c>
      <c r="BW314" s="392">
        <f>IF(BW300="","",BW300)</f>
        <v/>
      </c>
      <c r="BX314" s="392">
        <f>IF(BX300="","",BX300)</f>
        <v/>
      </c>
      <c r="BY314" s="392">
        <f>IF(BY300="","",BY300)</f>
        <v/>
      </c>
      <c r="BZ314" s="392">
        <f>IF(BZ300="","",BZ300)</f>
        <v/>
      </c>
      <c r="CA314" s="392">
        <f>IF(CA300="","",CA300)</f>
        <v/>
      </c>
      <c r="CB314" s="392">
        <f>IF(CB300="","",CB300)</f>
        <v/>
      </c>
      <c r="CC314" s="392">
        <f>IF(CC300="","",CC300)</f>
        <v/>
      </c>
      <c r="CD314" s="392">
        <f>IF(CD300="","",CD300)</f>
        <v/>
      </c>
      <c r="CE314" s="392">
        <f>IF(CE300="","",CE300)</f>
        <v/>
      </c>
      <c r="CF314" s="392">
        <f>IF(CF300="","",CF300)</f>
        <v/>
      </c>
      <c r="CG314" s="392">
        <f>IF(CG300="","",CG300)</f>
        <v/>
      </c>
      <c r="CH314" s="392">
        <f>IF(CH300="","",CH300)</f>
        <v/>
      </c>
      <c r="CI314" s="392">
        <f>IF(CI300="","",CI300)</f>
        <v/>
      </c>
      <c r="CJ314" s="392">
        <f>IF(CJ300="","",CJ300)</f>
        <v/>
      </c>
      <c r="CK314" s="392">
        <f>IF(CK300="","",CK300)</f>
        <v/>
      </c>
      <c r="CL314" s="392">
        <f>IF(CL300="","",CL300)</f>
        <v/>
      </c>
      <c r="CM314" s="392">
        <f>IF(CM300="","",CM300)</f>
        <v/>
      </c>
      <c r="CN314" s="392">
        <f>IF(CN300="","",CN300)</f>
        <v/>
      </c>
      <c r="CO314" s="392">
        <f>IF(CO300="","",CO300)</f>
        <v/>
      </c>
      <c r="CP314" s="392">
        <f>IF(CP300="","",CP300)</f>
        <v/>
      </c>
      <c r="CQ314" s="392">
        <f>IF(CQ300="","",CQ300)</f>
        <v/>
      </c>
      <c r="CR314" s="392">
        <f>IF(CR300="","",CR300)</f>
        <v/>
      </c>
      <c r="CS314" s="392">
        <f>IF(CS300="","",CS300)</f>
        <v/>
      </c>
      <c r="CT314" s="392">
        <f>IF(CT300="","",CT300)</f>
        <v/>
      </c>
      <c r="CU314" s="392">
        <f>IF(CU300="","",CU300)</f>
        <v/>
      </c>
      <c r="CV314" s="392">
        <f>IF(CV300="","",CV300)</f>
        <v/>
      </c>
      <c r="CW314" s="392">
        <f>IF(CW300="","",CW300)</f>
        <v/>
      </c>
      <c r="CX314" s="392">
        <f>IF(CX300="","",CX300)</f>
        <v/>
      </c>
      <c r="CY314" s="392">
        <f>IF(CY300="","",CY300)</f>
        <v/>
      </c>
      <c r="CZ314" s="392">
        <f>IF(CZ300="","",CZ300)</f>
        <v/>
      </c>
      <c r="DA314" s="392">
        <f>IF(DA300="","",DA300)</f>
        <v/>
      </c>
      <c r="DB314" s="392">
        <f>IF(DB300="","",DB300)</f>
        <v/>
      </c>
      <c r="DC314" s="392">
        <f>IF(DC300="","",DC300)</f>
        <v/>
      </c>
      <c r="DD314" s="392">
        <f>IF(DD300="","",DD300)</f>
        <v/>
      </c>
      <c r="DE314" s="392">
        <f>IF(DE300="","",DE300)</f>
        <v/>
      </c>
    </row>
    <row r="315" ht="15" customHeight="1" s="410">
      <c r="A315" s="397" t="inlineStr">
        <is>
          <t>Model (live): projected ending cash; in the last closed month, the next month's opening balance</t>
        </is>
      </c>
      <c r="B315" s="392">
        <f>IF(B$4="Actuals",IF(C$4="Actuals","",C265),B273)</f>
        <v/>
      </c>
      <c r="C315" s="392">
        <f>IF(C$4="Actuals",IF(D$4="Actuals","",D265),C273)</f>
        <v/>
      </c>
      <c r="D315" s="392">
        <f>IF(D$4="Actuals",IF(E$4="Actuals","",E265),D273)</f>
        <v/>
      </c>
      <c r="E315" s="392">
        <f>IF(E$4="Actuals",IF(F$4="Actuals","",F265),E273)</f>
        <v/>
      </c>
      <c r="F315" s="392">
        <f>IF(F$4="Actuals",IF(G$4="Actuals","",G265),F273)</f>
        <v/>
      </c>
      <c r="G315" s="392">
        <f>IF(G$4="Actuals",IF(H$4="Actuals","",H265),G273)</f>
        <v/>
      </c>
      <c r="H315" s="392">
        <f>IF(H$4="Actuals",IF(I$4="Actuals","",I265),H273)</f>
        <v/>
      </c>
      <c r="I315" s="392">
        <f>IF(I$4="Actuals",IF(J$4="Actuals","",J265),I273)</f>
        <v/>
      </c>
      <c r="J315" s="392">
        <f>IF(J$4="Actuals",IF(K$4="Actuals","",K265),J273)</f>
        <v/>
      </c>
      <c r="K315" s="392">
        <f>IF(K$4="Actuals",IF(L$4="Actuals","",L265),K273)</f>
        <v/>
      </c>
      <c r="L315" s="392">
        <f>IF(L$4="Actuals",IF(M$4="Actuals","",M265),L273)</f>
        <v/>
      </c>
      <c r="M315" s="392">
        <f>IF(M$4="Actuals",IF(N$4="Actuals","",N265),M273)</f>
        <v/>
      </c>
      <c r="N315" s="392">
        <f>IF(N$4="Actuals",IF(O$4="Actuals","",O265),N273)</f>
        <v/>
      </c>
      <c r="O315" s="392">
        <f>IF(O$4="Actuals",IF(P$4="Actuals","",P265),O273)</f>
        <v/>
      </c>
      <c r="P315" s="392">
        <f>IF(P$4="Actuals",IF(Q$4="Actuals","",Q265),P273)</f>
        <v/>
      </c>
      <c r="Q315" s="392">
        <f>IF(Q$4="Actuals",IF(R$4="Actuals","",R265),Q273)</f>
        <v/>
      </c>
      <c r="R315" s="392">
        <f>IF(R$4="Actuals",IF(S$4="Actuals","",S265),R273)</f>
        <v/>
      </c>
      <c r="S315" s="392">
        <f>IF(S$4="Actuals",IF(T$4="Actuals","",T265),S273)</f>
        <v/>
      </c>
      <c r="T315" s="392">
        <f>IF(T$4="Actuals",IF(U$4="Actuals","",U265),T273)</f>
        <v/>
      </c>
      <c r="U315" s="392">
        <f>IF(U$4="Actuals",IF(V$4="Actuals","",V265),U273)</f>
        <v/>
      </c>
      <c r="V315" s="392">
        <f>IF(V$4="Actuals",IF(W$4="Actuals","",W265),V273)</f>
        <v/>
      </c>
      <c r="W315" s="392">
        <f>IF(W$4="Actuals",IF(X$4="Actuals","",X265),W273)</f>
        <v/>
      </c>
      <c r="X315" s="392">
        <f>IF(X$4="Actuals",IF(Y$4="Actuals","",Y265),X273)</f>
        <v/>
      </c>
      <c r="Y315" s="392">
        <f>IF(Y$4="Actuals",IF(Z$4="Actuals","",Z265),Y273)</f>
        <v/>
      </c>
      <c r="Z315" s="392">
        <f>IF(Z$4="Actuals",IF(AA$4="Actuals","",AA265),Z273)</f>
        <v/>
      </c>
      <c r="AA315" s="392">
        <f>IF(AA$4="Actuals",IF(AB$4="Actuals","",AB265),AA273)</f>
        <v/>
      </c>
      <c r="AB315" s="392">
        <f>IF(AB$4="Actuals",IF(AC$4="Actuals","",AC265),AB273)</f>
        <v/>
      </c>
      <c r="AC315" s="392">
        <f>IF(AC$4="Actuals",IF(AD$4="Actuals","",AD265),AC273)</f>
        <v/>
      </c>
      <c r="AD315" s="392">
        <f>IF(AD$4="Actuals",IF(AE$4="Actuals","",AE265),AD273)</f>
        <v/>
      </c>
      <c r="AE315" s="392">
        <f>IF(AE$4="Actuals",IF(AF$4="Actuals","",AF265),AE273)</f>
        <v/>
      </c>
      <c r="AF315" s="392">
        <f>IF(AF$4="Actuals",IF(AG$4="Actuals","",AG265),AF273)</f>
        <v/>
      </c>
      <c r="AG315" s="392">
        <f>IF(AG$4="Actuals",IF(AH$4="Actuals","",AH265),AG273)</f>
        <v/>
      </c>
      <c r="AH315" s="392">
        <f>IF(AH$4="Actuals",IF(AI$4="Actuals","",AI265),AH273)</f>
        <v/>
      </c>
      <c r="AI315" s="392">
        <f>IF(AI$4="Actuals",IF(AJ$4="Actuals","",AJ265),AI273)</f>
        <v/>
      </c>
      <c r="AJ315" s="392">
        <f>IF(AJ$4="Actuals",IF(AK$4="Actuals","",AK265),AJ273)</f>
        <v/>
      </c>
      <c r="AK315" s="392">
        <f>IF(AK$4="Actuals",IF(AL$4="Actuals","",AL265),AK273)</f>
        <v/>
      </c>
      <c r="AL315" s="392">
        <f>IF(AL$4="Actuals",IF(AM$4="Actuals","",AM265),AL273)</f>
        <v/>
      </c>
      <c r="AM315" s="392">
        <f>IF(AM$4="Actuals",IF(AN$4="Actuals","",AN265),AM273)</f>
        <v/>
      </c>
      <c r="AN315" s="392">
        <f>IF(AN$4="Actuals",IF(AO$4="Actuals","",AO265),AN273)</f>
        <v/>
      </c>
      <c r="AO315" s="392">
        <f>IF(AO$4="Actuals",IF(AP$4="Actuals","",AP265),AO273)</f>
        <v/>
      </c>
      <c r="AP315" s="392">
        <f>IF(AP$4="Actuals",IF(AQ$4="Actuals","",AQ265),AP273)</f>
        <v/>
      </c>
      <c r="AQ315" s="392">
        <f>IF(AQ$4="Actuals",IF(AR$4="Actuals","",AR265),AQ273)</f>
        <v/>
      </c>
      <c r="AR315" s="392">
        <f>IF(AR$4="Actuals",IF(AS$4="Actuals","",AS265),AR273)</f>
        <v/>
      </c>
      <c r="AS315" s="392">
        <f>IF(AS$4="Actuals",IF(AT$4="Actuals","",AT265),AS273)</f>
        <v/>
      </c>
      <c r="AT315" s="392">
        <f>IF(AT$4="Actuals",IF(AU$4="Actuals","",AU265),AT273)</f>
        <v/>
      </c>
      <c r="AU315" s="392">
        <f>IF(AU$4="Actuals",IF(AV$4="Actuals","",AV265),AU273)</f>
        <v/>
      </c>
      <c r="AV315" s="392">
        <f>IF(AV$4="Actuals",IF(AW$4="Actuals","",AW265),AV273)</f>
        <v/>
      </c>
      <c r="AW315" s="392">
        <f>IF(AW$4="Actuals",IF(AX$4="Actuals","",AX265),AW273)</f>
        <v/>
      </c>
      <c r="AX315" s="392">
        <f>IF(AX$4="Actuals",IF(AY$4="Actuals","",AY265),AX273)</f>
        <v/>
      </c>
      <c r="AY315" s="392">
        <f>IF(AY$4="Actuals",IF(AZ$4="Actuals","",AZ265),AY273)</f>
        <v/>
      </c>
      <c r="AZ315" s="392">
        <f>IF(AZ$4="Actuals",IF(BA$4="Actuals","",BA265),AZ273)</f>
        <v/>
      </c>
      <c r="BA315" s="392">
        <f>IF(BA$4="Actuals",IF(BB$4="Actuals","",BB265),BA273)</f>
        <v/>
      </c>
      <c r="BB315" s="392">
        <f>IF(BB$4="Actuals",IF(BC$4="Actuals","",BC265),BB273)</f>
        <v/>
      </c>
      <c r="BC315" s="392">
        <f>IF(BC$4="Actuals",IF(BD$4="Actuals","",BD265),BC273)</f>
        <v/>
      </c>
      <c r="BD315" s="392">
        <f>IF(BD$4="Actuals",IF(BE$4="Actuals","",BE265),BD273)</f>
        <v/>
      </c>
      <c r="BE315" s="392">
        <f>IF(BE$4="Actuals",IF(BF$4="Actuals","",BF265),BE273)</f>
        <v/>
      </c>
      <c r="BF315" s="392">
        <f>IF(BF$4="Actuals",IF(BG$4="Actuals","",BG265),BF273)</f>
        <v/>
      </c>
      <c r="BG315" s="392">
        <f>IF(BG$4="Actuals",IF(BH$4="Actuals","",BH265),BG273)</f>
        <v/>
      </c>
      <c r="BH315" s="392">
        <f>IF(BH$4="Actuals",IF(BI$4="Actuals","",BI265),BH273)</f>
        <v/>
      </c>
      <c r="BI315" s="392">
        <f>IF(BI$4="Actuals",IF(BJ$4="Actuals","",BJ265),BI273)</f>
        <v/>
      </c>
      <c r="BJ315" s="392">
        <f>IF(BJ$4="Actuals",IF(BK$4="Actuals","",BK265),BJ273)</f>
        <v/>
      </c>
      <c r="BK315" s="392">
        <f>IF(BK$4="Actuals",IF(BL$4="Actuals","",BL265),BK273)</f>
        <v/>
      </c>
      <c r="BL315" s="392">
        <f>IF(BL$4="Actuals",IF(BM$4="Actuals","",BM265),BL273)</f>
        <v/>
      </c>
      <c r="BM315" s="392">
        <f>IF(BM$4="Actuals",IF(BN$4="Actuals","",BN265),BM273)</f>
        <v/>
      </c>
      <c r="BN315" s="392">
        <f>IF(BN$4="Actuals",IF(BO$4="Actuals","",BO265),BN273)</f>
        <v/>
      </c>
      <c r="BO315" s="392">
        <f>IF(BO$4="Actuals",IF(BP$4="Actuals","",BP265),BO273)</f>
        <v/>
      </c>
      <c r="BP315" s="392">
        <f>IF(BP$4="Actuals",IF(BQ$4="Actuals","",BQ265),BP273)</f>
        <v/>
      </c>
      <c r="BQ315" s="392">
        <f>IF(BQ$4="Actuals",IF(BR$4="Actuals","",BR265),BQ273)</f>
        <v/>
      </c>
      <c r="BR315" s="392">
        <f>IF(BR$4="Actuals",IF(BS$4="Actuals","",BS265),BR273)</f>
        <v/>
      </c>
      <c r="BS315" s="392">
        <f>IF(BS$4="Actuals",IF(BT$4="Actuals","",BT265),BS273)</f>
        <v/>
      </c>
      <c r="BT315" s="392">
        <f>IF(BT$4="Actuals",IF(BU$4="Actuals","",BU265),BT273)</f>
        <v/>
      </c>
      <c r="BU315" s="392">
        <f>IF(BU$4="Actuals",IF(BV$4="Actuals","",BV265),BU273)</f>
        <v/>
      </c>
      <c r="BV315" s="392">
        <f>IF(BV$4="Actuals",IF(BW$4="Actuals","",BW265),BV273)</f>
        <v/>
      </c>
      <c r="BW315" s="392">
        <f>IF(BW$4="Actuals",IF(BX$4="Actuals","",BX265),BW273)</f>
        <v/>
      </c>
      <c r="BX315" s="392">
        <f>IF(BX$4="Actuals",IF(BY$4="Actuals","",BY265),BX273)</f>
        <v/>
      </c>
      <c r="BY315" s="392">
        <f>IF(BY$4="Actuals",IF(BZ$4="Actuals","",BZ265),BY273)</f>
        <v/>
      </c>
      <c r="BZ315" s="392">
        <f>IF(BZ$4="Actuals",IF(CA$4="Actuals","",CA265),BZ273)</f>
        <v/>
      </c>
      <c r="CA315" s="392">
        <f>IF(CA$4="Actuals",IF(CB$4="Actuals","",CB265),CA273)</f>
        <v/>
      </c>
      <c r="CB315" s="392">
        <f>IF(CB$4="Actuals",IF(CC$4="Actuals","",CC265),CB273)</f>
        <v/>
      </c>
      <c r="CC315" s="392">
        <f>IF(CC$4="Actuals",IF(CD$4="Actuals","",CD265),CC273)</f>
        <v/>
      </c>
      <c r="CD315" s="392">
        <f>IF(CD$4="Actuals",IF(CE$4="Actuals","",CE265),CD273)</f>
        <v/>
      </c>
      <c r="CE315" s="392">
        <f>IF(CE$4="Actuals",IF(CF$4="Actuals","",CF265),CE273)</f>
        <v/>
      </c>
      <c r="CF315" s="392">
        <f>IF(CF$4="Actuals",IF(CG$4="Actuals","",CG265),CF273)</f>
        <v/>
      </c>
      <c r="CG315" s="392">
        <f>IF(CG$4="Actuals",IF(CH$4="Actuals","",CH265),CG273)</f>
        <v/>
      </c>
      <c r="CH315" s="392">
        <f>IF(CH$4="Actuals",IF(CI$4="Actuals","",CI265),CH273)</f>
        <v/>
      </c>
      <c r="CI315" s="392">
        <f>IF(CI$4="Actuals",IF(CJ$4="Actuals","",CJ265),CI273)</f>
        <v/>
      </c>
      <c r="CJ315" s="392">
        <f>IF(CJ$4="Actuals",IF(CK$4="Actuals","",CK265),CJ273)</f>
        <v/>
      </c>
      <c r="CK315" s="392">
        <f>IF(CK$4="Actuals",IF(CL$4="Actuals","",CL265),CK273)</f>
        <v/>
      </c>
      <c r="CL315" s="392">
        <f>IF(CL$4="Actuals",IF(CM$4="Actuals","",CM265),CL273)</f>
        <v/>
      </c>
      <c r="CM315" s="392">
        <f>IF(CM$4="Actuals",IF(CN$4="Actuals","",CN265),CM273)</f>
        <v/>
      </c>
      <c r="CN315" s="392">
        <f>IF(CN$4="Actuals",IF(CO$4="Actuals","",CO265),CN273)</f>
        <v/>
      </c>
      <c r="CO315" s="392">
        <f>IF(CO$4="Actuals",IF(CP$4="Actuals","",CP265),CO273)</f>
        <v/>
      </c>
      <c r="CP315" s="392">
        <f>IF(CP$4="Actuals",IF(CQ$4="Actuals","",CQ265),CP273)</f>
        <v/>
      </c>
      <c r="CQ315" s="392">
        <f>IF(CQ$4="Actuals",IF(CR$4="Actuals","",CR265),CQ273)</f>
        <v/>
      </c>
      <c r="CR315" s="392">
        <f>IF(CR$4="Actuals",IF(CS$4="Actuals","",CS265),CR273)</f>
        <v/>
      </c>
      <c r="CS315" s="392">
        <f>IF(CS$4="Actuals",IF(CT$4="Actuals","",CT265),CS273)</f>
        <v/>
      </c>
      <c r="CT315" s="392">
        <f>IF(CT$4="Actuals",IF(CU$4="Actuals","",CU265),CT273)</f>
        <v/>
      </c>
      <c r="CU315" s="392">
        <f>IF(CU$4="Actuals",IF(CV$4="Actuals","",CV265),CU273)</f>
        <v/>
      </c>
      <c r="CV315" s="392">
        <f>IF(CV$4="Actuals",IF(CW$4="Actuals","",CW265),CV273)</f>
        <v/>
      </c>
      <c r="CW315" s="392">
        <f>IF(CW$4="Actuals",IF(CX$4="Actuals","",CX265),CW273)</f>
        <v/>
      </c>
      <c r="CX315" s="392">
        <f>IF(CX$4="Actuals",IF(CY$4="Actuals","",CY265),CX273)</f>
        <v/>
      </c>
      <c r="CY315" s="392">
        <f>IF(CY$4="Actuals",IF(CZ$4="Actuals","",CZ265),CY273)</f>
        <v/>
      </c>
      <c r="CZ315" s="392">
        <f>IF(CZ$4="Actuals",IF(DA$4="Actuals","",DA265),CZ273)</f>
        <v/>
      </c>
      <c r="DA315" s="392">
        <f>IF(DA$4="Actuals",IF(DB$4="Actuals","",DB265),DA273)</f>
        <v/>
      </c>
      <c r="DB315" s="392">
        <f>IF(DB$4="Actuals",IF(DC$4="Actuals","",DC265),DB273)</f>
        <v/>
      </c>
      <c r="DC315" s="392">
        <f>IF(DC$4="Actuals",IF(DD$4="Actuals","",DD265),DC273)</f>
        <v/>
      </c>
      <c r="DD315" s="392">
        <f>IF(DD$4="Actuals",IF(DE$4="Actuals","",DE265),DD273)</f>
        <v/>
      </c>
      <c r="DE315" s="392">
        <f>IF(DE$4="Actuals",IF(DF$4="Actuals","",DF265),DE273)</f>
        <v/>
      </c>
    </row>
    <row r="316" ht="15" customHeight="1" s="410">
      <c r="A316" s="397" t="inlineStr">
        <is>
          <t>Variance — model less actual (must be 0 on the opening balance)</t>
        </is>
      </c>
      <c r="B316" s="392">
        <f>IF(OR(B314="",B315=""),"",B315-B314)</f>
        <v/>
      </c>
      <c r="C316" s="392">
        <f>IF(OR(C314="",C315=""),"",C315-C314)</f>
        <v/>
      </c>
      <c r="D316" s="392">
        <f>IF(OR(D314="",D315=""),"",D315-D314)</f>
        <v/>
      </c>
      <c r="E316" s="392">
        <f>IF(OR(E314="",E315=""),"",E315-E314)</f>
        <v/>
      </c>
      <c r="F316" s="392">
        <f>IF(OR(F314="",F315=""),"",F315-F314)</f>
        <v/>
      </c>
      <c r="G316" s="392">
        <f>IF(OR(G314="",G315=""),"",G315-G314)</f>
        <v/>
      </c>
      <c r="H316" s="392">
        <f>IF(OR(H314="",H315=""),"",H315-H314)</f>
        <v/>
      </c>
      <c r="I316" s="392">
        <f>IF(OR(I314="",I315=""),"",I315-I314)</f>
        <v/>
      </c>
      <c r="J316" s="392">
        <f>IF(OR(J314="",J315=""),"",J315-J314)</f>
        <v/>
      </c>
      <c r="K316" s="392">
        <f>IF(OR(K314="",K315=""),"",K315-K314)</f>
        <v/>
      </c>
      <c r="L316" s="392">
        <f>IF(OR(L314="",L315=""),"",L315-L314)</f>
        <v/>
      </c>
      <c r="M316" s="392">
        <f>IF(OR(M314="",M315=""),"",M315-M314)</f>
        <v/>
      </c>
      <c r="N316" s="392">
        <f>IF(OR(N314="",N315=""),"",N315-N314)</f>
        <v/>
      </c>
      <c r="O316" s="392">
        <f>IF(OR(O314="",O315=""),"",O315-O314)</f>
        <v/>
      </c>
      <c r="P316" s="392">
        <f>IF(OR(P314="",P315=""),"",P315-P314)</f>
        <v/>
      </c>
      <c r="Q316" s="392">
        <f>IF(OR(Q314="",Q315=""),"",Q315-Q314)</f>
        <v/>
      </c>
      <c r="R316" s="392">
        <f>IF(OR(R314="",R315=""),"",R315-R314)</f>
        <v/>
      </c>
      <c r="S316" s="392">
        <f>IF(OR(S314="",S315=""),"",S315-S314)</f>
        <v/>
      </c>
      <c r="T316" s="392">
        <f>IF(OR(T314="",T315=""),"",T315-T314)</f>
        <v/>
      </c>
      <c r="U316" s="392">
        <f>IF(OR(U314="",U315=""),"",U315-U314)</f>
        <v/>
      </c>
      <c r="V316" s="392">
        <f>IF(OR(V314="",V315=""),"",V315-V314)</f>
        <v/>
      </c>
      <c r="W316" s="392">
        <f>IF(OR(W314="",W315=""),"",W315-W314)</f>
        <v/>
      </c>
      <c r="X316" s="392">
        <f>IF(OR(X314="",X315=""),"",X315-X314)</f>
        <v/>
      </c>
      <c r="Y316" s="392">
        <f>IF(OR(Y314="",Y315=""),"",Y315-Y314)</f>
        <v/>
      </c>
      <c r="Z316" s="392">
        <f>IF(OR(Z314="",Z315=""),"",Z315-Z314)</f>
        <v/>
      </c>
      <c r="AA316" s="392">
        <f>IF(OR(AA314="",AA315=""),"",AA315-AA314)</f>
        <v/>
      </c>
      <c r="AB316" s="392">
        <f>IF(OR(AB314="",AB315=""),"",AB315-AB314)</f>
        <v/>
      </c>
      <c r="AC316" s="392">
        <f>IF(OR(AC314="",AC315=""),"",AC315-AC314)</f>
        <v/>
      </c>
      <c r="AD316" s="392">
        <f>IF(OR(AD314="",AD315=""),"",AD315-AD314)</f>
        <v/>
      </c>
      <c r="AE316" s="392">
        <f>IF(OR(AE314="",AE315=""),"",AE315-AE314)</f>
        <v/>
      </c>
      <c r="AF316" s="392">
        <f>IF(OR(AF314="",AF315=""),"",AF315-AF314)</f>
        <v/>
      </c>
      <c r="AG316" s="392">
        <f>IF(OR(AG314="",AG315=""),"",AG315-AG314)</f>
        <v/>
      </c>
      <c r="AH316" s="392">
        <f>IF(OR(AH314="",AH315=""),"",AH315-AH314)</f>
        <v/>
      </c>
      <c r="AI316" s="392">
        <f>IF(OR(AI314="",AI315=""),"",AI315-AI314)</f>
        <v/>
      </c>
      <c r="AJ316" s="392">
        <f>IF(OR(AJ314="",AJ315=""),"",AJ315-AJ314)</f>
        <v/>
      </c>
      <c r="AK316" s="392">
        <f>IF(OR(AK314="",AK315=""),"",AK315-AK314)</f>
        <v/>
      </c>
      <c r="AL316" s="392">
        <f>IF(OR(AL314="",AL315=""),"",AL315-AL314)</f>
        <v/>
      </c>
      <c r="AM316" s="392">
        <f>IF(OR(AM314="",AM315=""),"",AM315-AM314)</f>
        <v/>
      </c>
      <c r="AN316" s="392">
        <f>IF(OR(AN314="",AN315=""),"",AN315-AN314)</f>
        <v/>
      </c>
      <c r="AO316" s="392">
        <f>IF(OR(AO314="",AO315=""),"",AO315-AO314)</f>
        <v/>
      </c>
      <c r="AP316" s="392">
        <f>IF(OR(AP314="",AP315=""),"",AP315-AP314)</f>
        <v/>
      </c>
      <c r="AQ316" s="392">
        <f>IF(OR(AQ314="",AQ315=""),"",AQ315-AQ314)</f>
        <v/>
      </c>
      <c r="AR316" s="392">
        <f>IF(OR(AR314="",AR315=""),"",AR315-AR314)</f>
        <v/>
      </c>
      <c r="AS316" s="392">
        <f>IF(OR(AS314="",AS315=""),"",AS315-AS314)</f>
        <v/>
      </c>
      <c r="AT316" s="392">
        <f>IF(OR(AT314="",AT315=""),"",AT315-AT314)</f>
        <v/>
      </c>
      <c r="AU316" s="392">
        <f>IF(OR(AU314="",AU315=""),"",AU315-AU314)</f>
        <v/>
      </c>
      <c r="AV316" s="392">
        <f>IF(OR(AV314="",AV315=""),"",AV315-AV314)</f>
        <v/>
      </c>
      <c r="AW316" s="392">
        <f>IF(OR(AW314="",AW315=""),"",AW315-AW314)</f>
        <v/>
      </c>
      <c r="AX316" s="392">
        <f>IF(OR(AX314="",AX315=""),"",AX315-AX314)</f>
        <v/>
      </c>
      <c r="AY316" s="392">
        <f>IF(OR(AY314="",AY315=""),"",AY315-AY314)</f>
        <v/>
      </c>
      <c r="AZ316" s="392">
        <f>IF(OR(AZ314="",AZ315=""),"",AZ315-AZ314)</f>
        <v/>
      </c>
      <c r="BA316" s="392">
        <f>IF(OR(BA314="",BA315=""),"",BA315-BA314)</f>
        <v/>
      </c>
      <c r="BB316" s="392">
        <f>IF(OR(BB314="",BB315=""),"",BB315-BB314)</f>
        <v/>
      </c>
      <c r="BC316" s="392">
        <f>IF(OR(BC314="",BC315=""),"",BC315-BC314)</f>
        <v/>
      </c>
      <c r="BD316" s="392">
        <f>IF(OR(BD314="",BD315=""),"",BD315-BD314)</f>
        <v/>
      </c>
      <c r="BE316" s="392">
        <f>IF(OR(BE314="",BE315=""),"",BE315-BE314)</f>
        <v/>
      </c>
      <c r="BF316" s="392">
        <f>IF(OR(BF314="",BF315=""),"",BF315-BF314)</f>
        <v/>
      </c>
      <c r="BG316" s="392">
        <f>IF(OR(BG314="",BG315=""),"",BG315-BG314)</f>
        <v/>
      </c>
      <c r="BH316" s="392">
        <f>IF(OR(BH314="",BH315=""),"",BH315-BH314)</f>
        <v/>
      </c>
      <c r="BI316" s="392">
        <f>IF(OR(BI314="",BI315=""),"",BI315-BI314)</f>
        <v/>
      </c>
      <c r="BJ316" s="392">
        <f>IF(OR(BJ314="",BJ315=""),"",BJ315-BJ314)</f>
        <v/>
      </c>
      <c r="BK316" s="392">
        <f>IF(OR(BK314="",BK315=""),"",BK315-BK314)</f>
        <v/>
      </c>
      <c r="BL316" s="392">
        <f>IF(OR(BL314="",BL315=""),"",BL315-BL314)</f>
        <v/>
      </c>
      <c r="BM316" s="392">
        <f>IF(OR(BM314="",BM315=""),"",BM315-BM314)</f>
        <v/>
      </c>
      <c r="BN316" s="392">
        <f>IF(OR(BN314="",BN315=""),"",BN315-BN314)</f>
        <v/>
      </c>
      <c r="BO316" s="392">
        <f>IF(OR(BO314="",BO315=""),"",BO315-BO314)</f>
        <v/>
      </c>
      <c r="BP316" s="392">
        <f>IF(OR(BP314="",BP315=""),"",BP315-BP314)</f>
        <v/>
      </c>
      <c r="BQ316" s="392">
        <f>IF(OR(BQ314="",BQ315=""),"",BQ315-BQ314)</f>
        <v/>
      </c>
      <c r="BR316" s="392">
        <f>IF(OR(BR314="",BR315=""),"",BR315-BR314)</f>
        <v/>
      </c>
      <c r="BS316" s="392">
        <f>IF(OR(BS314="",BS315=""),"",BS315-BS314)</f>
        <v/>
      </c>
      <c r="BT316" s="392">
        <f>IF(OR(BT314="",BT315=""),"",BT315-BT314)</f>
        <v/>
      </c>
      <c r="BU316" s="392">
        <f>IF(OR(BU314="",BU315=""),"",BU315-BU314)</f>
        <v/>
      </c>
      <c r="BV316" s="392">
        <f>IF(OR(BV314="",BV315=""),"",BV315-BV314)</f>
        <v/>
      </c>
      <c r="BW316" s="392">
        <f>IF(OR(BW314="",BW315=""),"",BW315-BW314)</f>
        <v/>
      </c>
      <c r="BX316" s="392">
        <f>IF(OR(BX314="",BX315=""),"",BX315-BX314)</f>
        <v/>
      </c>
      <c r="BY316" s="392">
        <f>IF(OR(BY314="",BY315=""),"",BY315-BY314)</f>
        <v/>
      </c>
      <c r="BZ316" s="392">
        <f>IF(OR(BZ314="",BZ315=""),"",BZ315-BZ314)</f>
        <v/>
      </c>
      <c r="CA316" s="392">
        <f>IF(OR(CA314="",CA315=""),"",CA315-CA314)</f>
        <v/>
      </c>
      <c r="CB316" s="392">
        <f>IF(OR(CB314="",CB315=""),"",CB315-CB314)</f>
        <v/>
      </c>
      <c r="CC316" s="392">
        <f>IF(OR(CC314="",CC315=""),"",CC315-CC314)</f>
        <v/>
      </c>
      <c r="CD316" s="392">
        <f>IF(OR(CD314="",CD315=""),"",CD315-CD314)</f>
        <v/>
      </c>
      <c r="CE316" s="392">
        <f>IF(OR(CE314="",CE315=""),"",CE315-CE314)</f>
        <v/>
      </c>
      <c r="CF316" s="392">
        <f>IF(OR(CF314="",CF315=""),"",CF315-CF314)</f>
        <v/>
      </c>
      <c r="CG316" s="392">
        <f>IF(OR(CG314="",CG315=""),"",CG315-CG314)</f>
        <v/>
      </c>
      <c r="CH316" s="392">
        <f>IF(OR(CH314="",CH315=""),"",CH315-CH314)</f>
        <v/>
      </c>
      <c r="CI316" s="392">
        <f>IF(OR(CI314="",CI315=""),"",CI315-CI314)</f>
        <v/>
      </c>
      <c r="CJ316" s="392">
        <f>IF(OR(CJ314="",CJ315=""),"",CJ315-CJ314)</f>
        <v/>
      </c>
      <c r="CK316" s="392">
        <f>IF(OR(CK314="",CK315=""),"",CK315-CK314)</f>
        <v/>
      </c>
      <c r="CL316" s="392">
        <f>IF(OR(CL314="",CL315=""),"",CL315-CL314)</f>
        <v/>
      </c>
      <c r="CM316" s="392">
        <f>IF(OR(CM314="",CM315=""),"",CM315-CM314)</f>
        <v/>
      </c>
      <c r="CN316" s="392">
        <f>IF(OR(CN314="",CN315=""),"",CN315-CN314)</f>
        <v/>
      </c>
      <c r="CO316" s="392">
        <f>IF(OR(CO314="",CO315=""),"",CO315-CO314)</f>
        <v/>
      </c>
      <c r="CP316" s="392">
        <f>IF(OR(CP314="",CP315=""),"",CP315-CP314)</f>
        <v/>
      </c>
      <c r="CQ316" s="392">
        <f>IF(OR(CQ314="",CQ315=""),"",CQ315-CQ314)</f>
        <v/>
      </c>
      <c r="CR316" s="392">
        <f>IF(OR(CR314="",CR315=""),"",CR315-CR314)</f>
        <v/>
      </c>
      <c r="CS316" s="392">
        <f>IF(OR(CS314="",CS315=""),"",CS315-CS314)</f>
        <v/>
      </c>
      <c r="CT316" s="392">
        <f>IF(OR(CT314="",CT315=""),"",CT315-CT314)</f>
        <v/>
      </c>
      <c r="CU316" s="392">
        <f>IF(OR(CU314="",CU315=""),"",CU315-CU314)</f>
        <v/>
      </c>
      <c r="CV316" s="392">
        <f>IF(OR(CV314="",CV315=""),"",CV315-CV314)</f>
        <v/>
      </c>
      <c r="CW316" s="392">
        <f>IF(OR(CW314="",CW315=""),"",CW315-CW314)</f>
        <v/>
      </c>
      <c r="CX316" s="392">
        <f>IF(OR(CX314="",CX315=""),"",CX315-CX314)</f>
        <v/>
      </c>
      <c r="CY316" s="392">
        <f>IF(OR(CY314="",CY315=""),"",CY315-CY314)</f>
        <v/>
      </c>
      <c r="CZ316" s="392">
        <f>IF(OR(CZ314="",CZ315=""),"",CZ315-CZ314)</f>
        <v/>
      </c>
      <c r="DA316" s="392">
        <f>IF(OR(DA314="",DA315=""),"",DA315-DA314)</f>
        <v/>
      </c>
      <c r="DB316" s="392">
        <f>IF(OR(DB314="",DB315=""),"",DB315-DB314)</f>
        <v/>
      </c>
      <c r="DC316" s="392">
        <f>IF(OR(DC314="",DC315=""),"",DC315-DC314)</f>
        <v/>
      </c>
      <c r="DD316" s="392">
        <f>IF(OR(DD314="",DD315=""),"",DD315-DD314)</f>
        <v/>
      </c>
      <c r="DE316" s="392">
        <f>IF(OR(DE314="",DE315=""),"",DE315-DE314)</f>
        <v/>
      </c>
    </row>
    <row r="317" ht="15" customHeight="1" s="410">
      <c r="A317" s="397" t="inlineStr">
        <is>
          <t>Tie check</t>
        </is>
      </c>
      <c r="B317" s="401">
        <f>IF(B316="","",IF(ABS(B316)&lt;1,"OK","CHECK"))</f>
        <v/>
      </c>
      <c r="C317" s="401">
        <f>IF(C316="","",IF(ABS(C316)&lt;1,"OK","CHECK"))</f>
        <v/>
      </c>
      <c r="D317" s="401">
        <f>IF(D316="","",IF(ABS(D316)&lt;1,"OK","CHECK"))</f>
        <v/>
      </c>
      <c r="E317" s="401">
        <f>IF(E316="","",IF(ABS(E316)&lt;1,"OK","CHECK"))</f>
        <v/>
      </c>
      <c r="F317" s="401">
        <f>IF(F316="","",IF(ABS(F316)&lt;1,"OK","CHECK"))</f>
        <v/>
      </c>
      <c r="G317" s="401">
        <f>IF(G316="","",IF(ABS(G316)&lt;1,"OK","CHECK"))</f>
        <v/>
      </c>
      <c r="H317" s="401">
        <f>IF(H316="","",IF(ABS(H316)&lt;1,"OK","CHECK"))</f>
        <v/>
      </c>
      <c r="I317" s="401">
        <f>IF(I316="","",IF(ABS(I316)&lt;1,"OK","CHECK"))</f>
        <v/>
      </c>
      <c r="J317" s="401">
        <f>IF(J316="","",IF(ABS(J316)&lt;1,"OK","CHECK"))</f>
        <v/>
      </c>
      <c r="K317" s="401">
        <f>IF(K316="","",IF(ABS(K316)&lt;1,"OK","CHECK"))</f>
        <v/>
      </c>
      <c r="L317" s="401">
        <f>IF(L316="","",IF(ABS(L316)&lt;1,"OK","CHECK"))</f>
        <v/>
      </c>
      <c r="M317" s="401">
        <f>IF(M316="","",IF(ABS(M316)&lt;1,"OK","CHECK"))</f>
        <v/>
      </c>
      <c r="N317" s="401">
        <f>IF(N316="","",IF(ABS(N316)&lt;1,"OK","CHECK"))</f>
        <v/>
      </c>
      <c r="O317" s="401">
        <f>IF(O316="","",IF(ABS(O316)&lt;1,"OK","CHECK"))</f>
        <v/>
      </c>
      <c r="P317" s="401">
        <f>IF(P316="","",IF(ABS(P316)&lt;1,"OK","CHECK"))</f>
        <v/>
      </c>
      <c r="Q317" s="401">
        <f>IF(Q316="","",IF(ABS(Q316)&lt;1,"OK","CHECK"))</f>
        <v/>
      </c>
      <c r="R317" s="401">
        <f>IF(R316="","",IF(ABS(R316)&lt;1,"OK","CHECK"))</f>
        <v/>
      </c>
      <c r="S317" s="401">
        <f>IF(S316="","",IF(ABS(S316)&lt;1,"OK","CHECK"))</f>
        <v/>
      </c>
      <c r="T317" s="401">
        <f>IF(T316="","",IF(ABS(T316)&lt;1,"OK","CHECK"))</f>
        <v/>
      </c>
      <c r="U317" s="401">
        <f>IF(U316="","",IF(ABS(U316)&lt;1,"OK","CHECK"))</f>
        <v/>
      </c>
      <c r="V317" s="401">
        <f>IF(V316="","",IF(ABS(V316)&lt;1,"OK","CHECK"))</f>
        <v/>
      </c>
      <c r="W317" s="401">
        <f>IF(W316="","",IF(ABS(W316)&lt;1,"OK","CHECK"))</f>
        <v/>
      </c>
      <c r="X317" s="401">
        <f>IF(X316="","",IF(ABS(X316)&lt;1,"OK","CHECK"))</f>
        <v/>
      </c>
      <c r="Y317" s="401">
        <f>IF(Y316="","",IF(ABS(Y316)&lt;1,"OK","CHECK"))</f>
        <v/>
      </c>
      <c r="Z317" s="401">
        <f>IF(Z316="","",IF(ABS(Z316)&lt;1,"OK","CHECK"))</f>
        <v/>
      </c>
      <c r="AA317" s="401">
        <f>IF(AA316="","",IF(ABS(AA316)&lt;1,"OK","CHECK"))</f>
        <v/>
      </c>
      <c r="AB317" s="401">
        <f>IF(AB316="","",IF(ABS(AB316)&lt;1,"OK","CHECK"))</f>
        <v/>
      </c>
      <c r="AC317" s="401">
        <f>IF(AC316="","",IF(ABS(AC316)&lt;1,"OK","CHECK"))</f>
        <v/>
      </c>
      <c r="AD317" s="401">
        <f>IF(AD316="","",IF(ABS(AD316)&lt;1,"OK","CHECK"))</f>
        <v/>
      </c>
      <c r="AE317" s="401">
        <f>IF(AE316="","",IF(ABS(AE316)&lt;1,"OK","CHECK"))</f>
        <v/>
      </c>
      <c r="AF317" s="401">
        <f>IF(AF316="","",IF(ABS(AF316)&lt;1,"OK","CHECK"))</f>
        <v/>
      </c>
      <c r="AG317" s="401">
        <f>IF(AG316="","",IF(ABS(AG316)&lt;1,"OK","CHECK"))</f>
        <v/>
      </c>
      <c r="AH317" s="401">
        <f>IF(AH316="","",IF(ABS(AH316)&lt;1,"OK","CHECK"))</f>
        <v/>
      </c>
      <c r="AI317" s="401">
        <f>IF(AI316="","",IF(ABS(AI316)&lt;1,"OK","CHECK"))</f>
        <v/>
      </c>
      <c r="AJ317" s="401">
        <f>IF(AJ316="","",IF(ABS(AJ316)&lt;1,"OK","CHECK"))</f>
        <v/>
      </c>
      <c r="AK317" s="401">
        <f>IF(AK316="","",IF(ABS(AK316)&lt;1,"OK","CHECK"))</f>
        <v/>
      </c>
      <c r="AL317" s="401">
        <f>IF(AL316="","",IF(ABS(AL316)&lt;1,"OK","CHECK"))</f>
        <v/>
      </c>
      <c r="AM317" s="401">
        <f>IF(AM316="","",IF(ABS(AM316)&lt;1,"OK","CHECK"))</f>
        <v/>
      </c>
      <c r="AN317" s="401">
        <f>IF(AN316="","",IF(ABS(AN316)&lt;1,"OK","CHECK"))</f>
        <v/>
      </c>
      <c r="AO317" s="401">
        <f>IF(AO316="","",IF(ABS(AO316)&lt;1,"OK","CHECK"))</f>
        <v/>
      </c>
      <c r="AP317" s="401">
        <f>IF(AP316="","",IF(ABS(AP316)&lt;1,"OK","CHECK"))</f>
        <v/>
      </c>
      <c r="AQ317" s="401">
        <f>IF(AQ316="","",IF(ABS(AQ316)&lt;1,"OK","CHECK"))</f>
        <v/>
      </c>
      <c r="AR317" s="401">
        <f>IF(AR316="","",IF(ABS(AR316)&lt;1,"OK","CHECK"))</f>
        <v/>
      </c>
      <c r="AS317" s="401">
        <f>IF(AS316="","",IF(ABS(AS316)&lt;1,"OK","CHECK"))</f>
        <v/>
      </c>
      <c r="AT317" s="401">
        <f>IF(AT316="","",IF(ABS(AT316)&lt;1,"OK","CHECK"))</f>
        <v/>
      </c>
      <c r="AU317" s="401">
        <f>IF(AU316="","",IF(ABS(AU316)&lt;1,"OK","CHECK"))</f>
        <v/>
      </c>
      <c r="AV317" s="401">
        <f>IF(AV316="","",IF(ABS(AV316)&lt;1,"OK","CHECK"))</f>
        <v/>
      </c>
      <c r="AW317" s="401">
        <f>IF(AW316="","",IF(ABS(AW316)&lt;1,"OK","CHECK"))</f>
        <v/>
      </c>
      <c r="AX317" s="401">
        <f>IF(AX316="","",IF(ABS(AX316)&lt;1,"OK","CHECK"))</f>
        <v/>
      </c>
      <c r="AY317" s="401">
        <f>IF(AY316="","",IF(ABS(AY316)&lt;1,"OK","CHECK"))</f>
        <v/>
      </c>
      <c r="AZ317" s="401">
        <f>IF(AZ316="","",IF(ABS(AZ316)&lt;1,"OK","CHECK"))</f>
        <v/>
      </c>
      <c r="BA317" s="401">
        <f>IF(BA316="","",IF(ABS(BA316)&lt;1,"OK","CHECK"))</f>
        <v/>
      </c>
      <c r="BB317" s="401">
        <f>IF(BB316="","",IF(ABS(BB316)&lt;1,"OK","CHECK"))</f>
        <v/>
      </c>
      <c r="BC317" s="401">
        <f>IF(BC316="","",IF(ABS(BC316)&lt;1,"OK","CHECK"))</f>
        <v/>
      </c>
      <c r="BD317" s="401">
        <f>IF(BD316="","",IF(ABS(BD316)&lt;1,"OK","CHECK"))</f>
        <v/>
      </c>
      <c r="BE317" s="401">
        <f>IF(BE316="","",IF(ABS(BE316)&lt;1,"OK","CHECK"))</f>
        <v/>
      </c>
      <c r="BF317" s="401">
        <f>IF(BF316="","",IF(ABS(BF316)&lt;1,"OK","CHECK"))</f>
        <v/>
      </c>
      <c r="BG317" s="401">
        <f>IF(BG316="","",IF(ABS(BG316)&lt;1,"OK","CHECK"))</f>
        <v/>
      </c>
      <c r="BH317" s="401">
        <f>IF(BH316="","",IF(ABS(BH316)&lt;1,"OK","CHECK"))</f>
        <v/>
      </c>
      <c r="BI317" s="401">
        <f>IF(BI316="","",IF(ABS(BI316)&lt;1,"OK","CHECK"))</f>
        <v/>
      </c>
      <c r="BJ317" s="401">
        <f>IF(BJ316="","",IF(ABS(BJ316)&lt;1,"OK","CHECK"))</f>
        <v/>
      </c>
      <c r="BK317" s="401">
        <f>IF(BK316="","",IF(ABS(BK316)&lt;1,"OK","CHECK"))</f>
        <v/>
      </c>
      <c r="BL317" s="401">
        <f>IF(BL316="","",IF(ABS(BL316)&lt;1,"OK","CHECK"))</f>
        <v/>
      </c>
      <c r="BM317" s="401">
        <f>IF(BM316="","",IF(ABS(BM316)&lt;1,"OK","CHECK"))</f>
        <v/>
      </c>
      <c r="BN317" s="401">
        <f>IF(BN316="","",IF(ABS(BN316)&lt;1,"OK","CHECK"))</f>
        <v/>
      </c>
      <c r="BO317" s="401">
        <f>IF(BO316="","",IF(ABS(BO316)&lt;1,"OK","CHECK"))</f>
        <v/>
      </c>
      <c r="BP317" s="401">
        <f>IF(BP316="","",IF(ABS(BP316)&lt;1,"OK","CHECK"))</f>
        <v/>
      </c>
      <c r="BQ317" s="401">
        <f>IF(BQ316="","",IF(ABS(BQ316)&lt;1,"OK","CHECK"))</f>
        <v/>
      </c>
      <c r="BR317" s="401">
        <f>IF(BR316="","",IF(ABS(BR316)&lt;1,"OK","CHECK"))</f>
        <v/>
      </c>
      <c r="BS317" s="401">
        <f>IF(BS316="","",IF(ABS(BS316)&lt;1,"OK","CHECK"))</f>
        <v/>
      </c>
      <c r="BT317" s="401">
        <f>IF(BT316="","",IF(ABS(BT316)&lt;1,"OK","CHECK"))</f>
        <v/>
      </c>
      <c r="BU317" s="401">
        <f>IF(BU316="","",IF(ABS(BU316)&lt;1,"OK","CHECK"))</f>
        <v/>
      </c>
      <c r="BV317" s="401">
        <f>IF(BV316="","",IF(ABS(BV316)&lt;1,"OK","CHECK"))</f>
        <v/>
      </c>
      <c r="BW317" s="401">
        <f>IF(BW316="","",IF(ABS(BW316)&lt;1,"OK","CHECK"))</f>
        <v/>
      </c>
      <c r="BX317" s="401">
        <f>IF(BX316="","",IF(ABS(BX316)&lt;1,"OK","CHECK"))</f>
        <v/>
      </c>
      <c r="BY317" s="401">
        <f>IF(BY316="","",IF(ABS(BY316)&lt;1,"OK","CHECK"))</f>
        <v/>
      </c>
      <c r="BZ317" s="401">
        <f>IF(BZ316="","",IF(ABS(BZ316)&lt;1,"OK","CHECK"))</f>
        <v/>
      </c>
      <c r="CA317" s="401">
        <f>IF(CA316="","",IF(ABS(CA316)&lt;1,"OK","CHECK"))</f>
        <v/>
      </c>
      <c r="CB317" s="401">
        <f>IF(CB316="","",IF(ABS(CB316)&lt;1,"OK","CHECK"))</f>
        <v/>
      </c>
      <c r="CC317" s="401">
        <f>IF(CC316="","",IF(ABS(CC316)&lt;1,"OK","CHECK"))</f>
        <v/>
      </c>
      <c r="CD317" s="401">
        <f>IF(CD316="","",IF(ABS(CD316)&lt;1,"OK","CHECK"))</f>
        <v/>
      </c>
      <c r="CE317" s="401">
        <f>IF(CE316="","",IF(ABS(CE316)&lt;1,"OK","CHECK"))</f>
        <v/>
      </c>
      <c r="CF317" s="401">
        <f>IF(CF316="","",IF(ABS(CF316)&lt;1,"OK","CHECK"))</f>
        <v/>
      </c>
      <c r="CG317" s="401">
        <f>IF(CG316="","",IF(ABS(CG316)&lt;1,"OK","CHECK"))</f>
        <v/>
      </c>
      <c r="CH317" s="401">
        <f>IF(CH316="","",IF(ABS(CH316)&lt;1,"OK","CHECK"))</f>
        <v/>
      </c>
      <c r="CI317" s="401">
        <f>IF(CI316="","",IF(ABS(CI316)&lt;1,"OK","CHECK"))</f>
        <v/>
      </c>
      <c r="CJ317" s="401">
        <f>IF(CJ316="","",IF(ABS(CJ316)&lt;1,"OK","CHECK"))</f>
        <v/>
      </c>
      <c r="CK317" s="401">
        <f>IF(CK316="","",IF(ABS(CK316)&lt;1,"OK","CHECK"))</f>
        <v/>
      </c>
      <c r="CL317" s="401">
        <f>IF(CL316="","",IF(ABS(CL316)&lt;1,"OK","CHECK"))</f>
        <v/>
      </c>
      <c r="CM317" s="401">
        <f>IF(CM316="","",IF(ABS(CM316)&lt;1,"OK","CHECK"))</f>
        <v/>
      </c>
      <c r="CN317" s="401">
        <f>IF(CN316="","",IF(ABS(CN316)&lt;1,"OK","CHECK"))</f>
        <v/>
      </c>
      <c r="CO317" s="401">
        <f>IF(CO316="","",IF(ABS(CO316)&lt;1,"OK","CHECK"))</f>
        <v/>
      </c>
      <c r="CP317" s="401">
        <f>IF(CP316="","",IF(ABS(CP316)&lt;1,"OK","CHECK"))</f>
        <v/>
      </c>
      <c r="CQ317" s="401">
        <f>IF(CQ316="","",IF(ABS(CQ316)&lt;1,"OK","CHECK"))</f>
        <v/>
      </c>
      <c r="CR317" s="401">
        <f>IF(CR316="","",IF(ABS(CR316)&lt;1,"OK","CHECK"))</f>
        <v/>
      </c>
      <c r="CS317" s="401">
        <f>IF(CS316="","",IF(ABS(CS316)&lt;1,"OK","CHECK"))</f>
        <v/>
      </c>
      <c r="CT317" s="401">
        <f>IF(CT316="","",IF(ABS(CT316)&lt;1,"OK","CHECK"))</f>
        <v/>
      </c>
      <c r="CU317" s="401">
        <f>IF(CU316="","",IF(ABS(CU316)&lt;1,"OK","CHECK"))</f>
        <v/>
      </c>
      <c r="CV317" s="401">
        <f>IF(CV316="","",IF(ABS(CV316)&lt;1,"OK","CHECK"))</f>
        <v/>
      </c>
      <c r="CW317" s="401">
        <f>IF(CW316="","",IF(ABS(CW316)&lt;1,"OK","CHECK"))</f>
        <v/>
      </c>
      <c r="CX317" s="401">
        <f>IF(CX316="","",IF(ABS(CX316)&lt;1,"OK","CHECK"))</f>
        <v/>
      </c>
      <c r="CY317" s="401">
        <f>IF(CY316="","",IF(ABS(CY316)&lt;1,"OK","CHECK"))</f>
        <v/>
      </c>
      <c r="CZ317" s="401">
        <f>IF(CZ316="","",IF(ABS(CZ316)&lt;1,"OK","CHECK"))</f>
        <v/>
      </c>
      <c r="DA317" s="401">
        <f>IF(DA316="","",IF(ABS(DA316)&lt;1,"OK","CHECK"))</f>
        <v/>
      </c>
      <c r="DB317" s="401">
        <f>IF(DB316="","",IF(ABS(DB316)&lt;1,"OK","CHECK"))</f>
        <v/>
      </c>
      <c r="DC317" s="401">
        <f>IF(DC316="","",IF(ABS(DC316)&lt;1,"OK","CHECK"))</f>
        <v/>
      </c>
      <c r="DD317" s="401">
        <f>IF(DD316="","",IF(ABS(DD316)&lt;1,"OK","CHECK"))</f>
        <v/>
      </c>
      <c r="DE317" s="401">
        <f>IF(DE316="","",IF(ABS(DE316)&lt;1,"OK","CHECK"))</f>
        <v/>
      </c>
    </row>
    <row r="318" ht="15" customHeight="1" s="410">
      <c r="A318" s="397" t="inlineStr">
        <is>
          <t>Prior pack: model ending cash projected for this month-end (hardcode at each close)</t>
        </is>
      </c>
      <c r="B318" s="392" t="n"/>
      <c r="C318" s="392" t="n"/>
      <c r="D318" s="392" t="n"/>
      <c r="E318" s="392" t="n"/>
      <c r="F318" s="392" t="n"/>
      <c r="G318" s="392" t="n"/>
      <c r="H318" s="453" t="n">
        <v>778701</v>
      </c>
      <c r="I318" s="453" t="n">
        <v>2671750</v>
      </c>
      <c r="J318" s="392" t="n"/>
      <c r="K318" s="392" t="n"/>
      <c r="L318" s="392" t="n"/>
      <c r="M318" s="392" t="n"/>
      <c r="N318" s="392" t="n"/>
      <c r="O318" s="392" t="n"/>
      <c r="P318" s="392" t="n"/>
      <c r="Q318" s="392" t="n"/>
      <c r="R318" s="392" t="n"/>
      <c r="S318" s="392" t="n"/>
      <c r="T318" s="392" t="n"/>
      <c r="U318" s="392" t="n"/>
      <c r="V318" s="392" t="n"/>
      <c r="W318" s="392" t="n"/>
      <c r="X318" s="392" t="n"/>
      <c r="Y318" s="392" t="n"/>
      <c r="Z318" s="392" t="n"/>
      <c r="AA318" s="392" t="n"/>
      <c r="AB318" s="392" t="n"/>
      <c r="AC318" s="392" t="n"/>
      <c r="AD318" s="392" t="n"/>
      <c r="AE318" s="392" t="n"/>
      <c r="AF318" s="392" t="n"/>
      <c r="AG318" s="392" t="n"/>
      <c r="AH318" s="392" t="n"/>
      <c r="AI318" s="392" t="n"/>
      <c r="AJ318" s="392" t="n"/>
      <c r="AK318" s="392" t="n"/>
      <c r="AL318" s="392" t="n"/>
      <c r="AM318" s="392" t="n"/>
      <c r="AN318" s="392" t="n"/>
      <c r="AO318" s="392" t="n"/>
      <c r="AP318" s="392" t="n"/>
      <c r="AQ318" s="392" t="n"/>
      <c r="AR318" s="392" t="n"/>
      <c r="AS318" s="392" t="n"/>
      <c r="AT318" s="392" t="n"/>
      <c r="AU318" s="392" t="n"/>
      <c r="AV318" s="392" t="n"/>
      <c r="AW318" s="392" t="n"/>
      <c r="AX318" s="392" t="n"/>
      <c r="AY318" s="392" t="n"/>
      <c r="AZ318" s="392" t="n"/>
      <c r="BA318" s="392" t="n"/>
      <c r="BB318" s="392" t="n"/>
      <c r="BC318" s="392" t="n"/>
      <c r="BD318" s="392" t="n"/>
      <c r="BE318" s="392" t="n"/>
      <c r="BF318" s="392" t="n"/>
      <c r="BG318" s="392" t="n"/>
      <c r="BH318" s="392" t="n"/>
      <c r="BI318" s="392" t="n"/>
      <c r="BJ318" s="392" t="n"/>
      <c r="BK318" s="392" t="n"/>
      <c r="BL318" s="392" t="n"/>
      <c r="BM318" s="392" t="n"/>
      <c r="BN318" s="392" t="n"/>
      <c r="BO318" s="392" t="n"/>
      <c r="BP318" s="392" t="n"/>
      <c r="BQ318" s="392" t="n"/>
      <c r="BR318" s="392" t="n"/>
      <c r="BS318" s="392" t="n"/>
      <c r="BT318" s="392" t="n"/>
      <c r="BU318" s="392" t="n"/>
      <c r="BV318" s="392" t="n"/>
      <c r="BW318" s="392" t="n"/>
      <c r="BX318" s="392" t="n"/>
      <c r="BY318" s="392" t="n"/>
      <c r="BZ318" s="392" t="n"/>
      <c r="CA318" s="392" t="n"/>
      <c r="CB318" s="392" t="n"/>
      <c r="CC318" s="392" t="n"/>
      <c r="CD318" s="392" t="n"/>
      <c r="CE318" s="392" t="n"/>
      <c r="CF318" s="392" t="n"/>
      <c r="CG318" s="392" t="n"/>
      <c r="CH318" s="392" t="n"/>
      <c r="CI318" s="392" t="n"/>
      <c r="CJ318" s="392" t="n"/>
      <c r="CK318" s="392" t="n"/>
      <c r="CL318" s="392" t="n"/>
      <c r="CM318" s="392" t="n"/>
      <c r="CN318" s="392" t="n"/>
      <c r="CO318" s="392" t="n"/>
      <c r="CP318" s="392" t="n"/>
      <c r="CQ318" s="392" t="n"/>
      <c r="CR318" s="392" t="n"/>
      <c r="CS318" s="392" t="n"/>
      <c r="CT318" s="392" t="n"/>
      <c r="CU318" s="392" t="n"/>
      <c r="CV318" s="392" t="n"/>
      <c r="CW318" s="392" t="n"/>
      <c r="CX318" s="392" t="n"/>
      <c r="CY318" s="392" t="n"/>
      <c r="CZ318" s="392" t="n"/>
      <c r="DA318" s="392" t="n"/>
      <c r="DB318" s="392" t="n"/>
      <c r="DC318" s="392" t="n"/>
      <c r="DD318" s="392" t="n"/>
      <c r="DE318" s="392" t="n"/>
    </row>
    <row r="319" ht="15" customHeight="1" s="410">
      <c r="A319" s="397" t="inlineStr">
        <is>
          <t>Forecast variance — prior pack less actual</t>
        </is>
      </c>
      <c r="B319" s="392">
        <f>IF(OR(B314="",B318=""),"",B318-B314)</f>
        <v/>
      </c>
      <c r="C319" s="392">
        <f>IF(OR(C314="",C318=""),"",C318-C314)</f>
        <v/>
      </c>
      <c r="D319" s="392">
        <f>IF(OR(D314="",D318=""),"",D318-D314)</f>
        <v/>
      </c>
      <c r="E319" s="392">
        <f>IF(OR(E314="",E318=""),"",E318-E314)</f>
        <v/>
      </c>
      <c r="F319" s="392">
        <f>IF(OR(F314="",F318=""),"",F318-F314)</f>
        <v/>
      </c>
      <c r="G319" s="392">
        <f>IF(OR(G314="",G318=""),"",G318-G314)</f>
        <v/>
      </c>
      <c r="H319" s="392">
        <f>IF(OR(H314="",H318=""),"",H318-H314)</f>
        <v/>
      </c>
      <c r="I319" s="392">
        <f>IF(OR(I314="",I318=""),"",I318-I314)</f>
        <v/>
      </c>
      <c r="J319" s="392">
        <f>IF(OR(J314="",J318=""),"",J318-J314)</f>
        <v/>
      </c>
      <c r="K319" s="392">
        <f>IF(OR(K314="",K318=""),"",K318-K314)</f>
        <v/>
      </c>
      <c r="L319" s="392">
        <f>IF(OR(L314="",L318=""),"",L318-L314)</f>
        <v/>
      </c>
      <c r="M319" s="392">
        <f>IF(OR(M314="",M318=""),"",M318-M314)</f>
        <v/>
      </c>
      <c r="N319" s="392">
        <f>IF(OR(N314="",N318=""),"",N318-N314)</f>
        <v/>
      </c>
      <c r="O319" s="392">
        <f>IF(OR(O314="",O318=""),"",O318-O314)</f>
        <v/>
      </c>
      <c r="P319" s="392">
        <f>IF(OR(P314="",P318=""),"",P318-P314)</f>
        <v/>
      </c>
      <c r="Q319" s="392">
        <f>IF(OR(Q314="",Q318=""),"",Q318-Q314)</f>
        <v/>
      </c>
      <c r="R319" s="392">
        <f>IF(OR(R314="",R318=""),"",R318-R314)</f>
        <v/>
      </c>
      <c r="S319" s="392">
        <f>IF(OR(S314="",S318=""),"",S318-S314)</f>
        <v/>
      </c>
      <c r="T319" s="392">
        <f>IF(OR(T314="",T318=""),"",T318-T314)</f>
        <v/>
      </c>
      <c r="U319" s="392">
        <f>IF(OR(U314="",U318=""),"",U318-U314)</f>
        <v/>
      </c>
      <c r="V319" s="392">
        <f>IF(OR(V314="",V318=""),"",V318-V314)</f>
        <v/>
      </c>
      <c r="W319" s="392">
        <f>IF(OR(W314="",W318=""),"",W318-W314)</f>
        <v/>
      </c>
      <c r="X319" s="392">
        <f>IF(OR(X314="",X318=""),"",X318-X314)</f>
        <v/>
      </c>
      <c r="Y319" s="392">
        <f>IF(OR(Y314="",Y318=""),"",Y318-Y314)</f>
        <v/>
      </c>
      <c r="Z319" s="392">
        <f>IF(OR(Z314="",Z318=""),"",Z318-Z314)</f>
        <v/>
      </c>
      <c r="AA319" s="392">
        <f>IF(OR(AA314="",AA318=""),"",AA318-AA314)</f>
        <v/>
      </c>
      <c r="AB319" s="392">
        <f>IF(OR(AB314="",AB318=""),"",AB318-AB314)</f>
        <v/>
      </c>
      <c r="AC319" s="392">
        <f>IF(OR(AC314="",AC318=""),"",AC318-AC314)</f>
        <v/>
      </c>
      <c r="AD319" s="392">
        <f>IF(OR(AD314="",AD318=""),"",AD318-AD314)</f>
        <v/>
      </c>
      <c r="AE319" s="392">
        <f>IF(OR(AE314="",AE318=""),"",AE318-AE314)</f>
        <v/>
      </c>
      <c r="AF319" s="392">
        <f>IF(OR(AF314="",AF318=""),"",AF318-AF314)</f>
        <v/>
      </c>
      <c r="AG319" s="392">
        <f>IF(OR(AG314="",AG318=""),"",AG318-AG314)</f>
        <v/>
      </c>
      <c r="AH319" s="392">
        <f>IF(OR(AH314="",AH318=""),"",AH318-AH314)</f>
        <v/>
      </c>
      <c r="AI319" s="392">
        <f>IF(OR(AI314="",AI318=""),"",AI318-AI314)</f>
        <v/>
      </c>
      <c r="AJ319" s="392">
        <f>IF(OR(AJ314="",AJ318=""),"",AJ318-AJ314)</f>
        <v/>
      </c>
      <c r="AK319" s="392">
        <f>IF(OR(AK314="",AK318=""),"",AK318-AK314)</f>
        <v/>
      </c>
      <c r="AL319" s="392">
        <f>IF(OR(AL314="",AL318=""),"",AL318-AL314)</f>
        <v/>
      </c>
      <c r="AM319" s="392">
        <f>IF(OR(AM314="",AM318=""),"",AM318-AM314)</f>
        <v/>
      </c>
      <c r="AN319" s="392">
        <f>IF(OR(AN314="",AN318=""),"",AN318-AN314)</f>
        <v/>
      </c>
      <c r="AO319" s="392">
        <f>IF(OR(AO314="",AO318=""),"",AO318-AO314)</f>
        <v/>
      </c>
      <c r="AP319" s="392">
        <f>IF(OR(AP314="",AP318=""),"",AP318-AP314)</f>
        <v/>
      </c>
      <c r="AQ319" s="392">
        <f>IF(OR(AQ314="",AQ318=""),"",AQ318-AQ314)</f>
        <v/>
      </c>
      <c r="AR319" s="392">
        <f>IF(OR(AR314="",AR318=""),"",AR318-AR314)</f>
        <v/>
      </c>
      <c r="AS319" s="392">
        <f>IF(OR(AS314="",AS318=""),"",AS318-AS314)</f>
        <v/>
      </c>
      <c r="AT319" s="392">
        <f>IF(OR(AT314="",AT318=""),"",AT318-AT314)</f>
        <v/>
      </c>
      <c r="AU319" s="392">
        <f>IF(OR(AU314="",AU318=""),"",AU318-AU314)</f>
        <v/>
      </c>
      <c r="AV319" s="392">
        <f>IF(OR(AV314="",AV318=""),"",AV318-AV314)</f>
        <v/>
      </c>
      <c r="AW319" s="392">
        <f>IF(OR(AW314="",AW318=""),"",AW318-AW314)</f>
        <v/>
      </c>
      <c r="AX319" s="392">
        <f>IF(OR(AX314="",AX318=""),"",AX318-AX314)</f>
        <v/>
      </c>
      <c r="AY319" s="392">
        <f>IF(OR(AY314="",AY318=""),"",AY318-AY314)</f>
        <v/>
      </c>
      <c r="AZ319" s="392">
        <f>IF(OR(AZ314="",AZ318=""),"",AZ318-AZ314)</f>
        <v/>
      </c>
      <c r="BA319" s="392">
        <f>IF(OR(BA314="",BA318=""),"",BA318-BA314)</f>
        <v/>
      </c>
      <c r="BB319" s="392">
        <f>IF(OR(BB314="",BB318=""),"",BB318-BB314)</f>
        <v/>
      </c>
      <c r="BC319" s="392">
        <f>IF(OR(BC314="",BC318=""),"",BC318-BC314)</f>
        <v/>
      </c>
      <c r="BD319" s="392">
        <f>IF(OR(BD314="",BD318=""),"",BD318-BD314)</f>
        <v/>
      </c>
      <c r="BE319" s="392">
        <f>IF(OR(BE314="",BE318=""),"",BE318-BE314)</f>
        <v/>
      </c>
      <c r="BF319" s="392">
        <f>IF(OR(BF314="",BF318=""),"",BF318-BF314)</f>
        <v/>
      </c>
      <c r="BG319" s="392">
        <f>IF(OR(BG314="",BG318=""),"",BG318-BG314)</f>
        <v/>
      </c>
      <c r="BH319" s="392">
        <f>IF(OR(BH314="",BH318=""),"",BH318-BH314)</f>
        <v/>
      </c>
      <c r="BI319" s="392">
        <f>IF(OR(BI314="",BI318=""),"",BI318-BI314)</f>
        <v/>
      </c>
      <c r="BJ319" s="392">
        <f>IF(OR(BJ314="",BJ318=""),"",BJ318-BJ314)</f>
        <v/>
      </c>
      <c r="BK319" s="392">
        <f>IF(OR(BK314="",BK318=""),"",BK318-BK314)</f>
        <v/>
      </c>
      <c r="BL319" s="392">
        <f>IF(OR(BL314="",BL318=""),"",BL318-BL314)</f>
        <v/>
      </c>
      <c r="BM319" s="392">
        <f>IF(OR(BM314="",BM318=""),"",BM318-BM314)</f>
        <v/>
      </c>
      <c r="BN319" s="392">
        <f>IF(OR(BN314="",BN318=""),"",BN318-BN314)</f>
        <v/>
      </c>
      <c r="BO319" s="392">
        <f>IF(OR(BO314="",BO318=""),"",BO318-BO314)</f>
        <v/>
      </c>
      <c r="BP319" s="392">
        <f>IF(OR(BP314="",BP318=""),"",BP318-BP314)</f>
        <v/>
      </c>
      <c r="BQ319" s="392">
        <f>IF(OR(BQ314="",BQ318=""),"",BQ318-BQ314)</f>
        <v/>
      </c>
      <c r="BR319" s="392">
        <f>IF(OR(BR314="",BR318=""),"",BR318-BR314)</f>
        <v/>
      </c>
      <c r="BS319" s="392">
        <f>IF(OR(BS314="",BS318=""),"",BS318-BS314)</f>
        <v/>
      </c>
      <c r="BT319" s="392">
        <f>IF(OR(BT314="",BT318=""),"",BT318-BT314)</f>
        <v/>
      </c>
      <c r="BU319" s="392">
        <f>IF(OR(BU314="",BU318=""),"",BU318-BU314)</f>
        <v/>
      </c>
      <c r="BV319" s="392">
        <f>IF(OR(BV314="",BV318=""),"",BV318-BV314)</f>
        <v/>
      </c>
      <c r="BW319" s="392">
        <f>IF(OR(BW314="",BW318=""),"",BW318-BW314)</f>
        <v/>
      </c>
      <c r="BX319" s="392">
        <f>IF(OR(BX314="",BX318=""),"",BX318-BX314)</f>
        <v/>
      </c>
      <c r="BY319" s="392">
        <f>IF(OR(BY314="",BY318=""),"",BY318-BY314)</f>
        <v/>
      </c>
      <c r="BZ319" s="392">
        <f>IF(OR(BZ314="",BZ318=""),"",BZ318-BZ314)</f>
        <v/>
      </c>
      <c r="CA319" s="392">
        <f>IF(OR(CA314="",CA318=""),"",CA318-CA314)</f>
        <v/>
      </c>
      <c r="CB319" s="392">
        <f>IF(OR(CB314="",CB318=""),"",CB318-CB314)</f>
        <v/>
      </c>
      <c r="CC319" s="392">
        <f>IF(OR(CC314="",CC318=""),"",CC318-CC314)</f>
        <v/>
      </c>
      <c r="CD319" s="392">
        <f>IF(OR(CD314="",CD318=""),"",CD318-CD314)</f>
        <v/>
      </c>
      <c r="CE319" s="392">
        <f>IF(OR(CE314="",CE318=""),"",CE318-CE314)</f>
        <v/>
      </c>
      <c r="CF319" s="392">
        <f>IF(OR(CF314="",CF318=""),"",CF318-CF314)</f>
        <v/>
      </c>
      <c r="CG319" s="392">
        <f>IF(OR(CG314="",CG318=""),"",CG318-CG314)</f>
        <v/>
      </c>
      <c r="CH319" s="392">
        <f>IF(OR(CH314="",CH318=""),"",CH318-CH314)</f>
        <v/>
      </c>
      <c r="CI319" s="392">
        <f>IF(OR(CI314="",CI318=""),"",CI318-CI314)</f>
        <v/>
      </c>
      <c r="CJ319" s="392">
        <f>IF(OR(CJ314="",CJ318=""),"",CJ318-CJ314)</f>
        <v/>
      </c>
      <c r="CK319" s="392">
        <f>IF(OR(CK314="",CK318=""),"",CK318-CK314)</f>
        <v/>
      </c>
      <c r="CL319" s="392">
        <f>IF(OR(CL314="",CL318=""),"",CL318-CL314)</f>
        <v/>
      </c>
      <c r="CM319" s="392">
        <f>IF(OR(CM314="",CM318=""),"",CM318-CM314)</f>
        <v/>
      </c>
      <c r="CN319" s="392">
        <f>IF(OR(CN314="",CN318=""),"",CN318-CN314)</f>
        <v/>
      </c>
      <c r="CO319" s="392">
        <f>IF(OR(CO314="",CO318=""),"",CO318-CO314)</f>
        <v/>
      </c>
      <c r="CP319" s="392">
        <f>IF(OR(CP314="",CP318=""),"",CP318-CP314)</f>
        <v/>
      </c>
      <c r="CQ319" s="392">
        <f>IF(OR(CQ314="",CQ318=""),"",CQ318-CQ314)</f>
        <v/>
      </c>
      <c r="CR319" s="392">
        <f>IF(OR(CR314="",CR318=""),"",CR318-CR314)</f>
        <v/>
      </c>
      <c r="CS319" s="392">
        <f>IF(OR(CS314="",CS318=""),"",CS318-CS314)</f>
        <v/>
      </c>
      <c r="CT319" s="392">
        <f>IF(OR(CT314="",CT318=""),"",CT318-CT314)</f>
        <v/>
      </c>
      <c r="CU319" s="392">
        <f>IF(OR(CU314="",CU318=""),"",CU318-CU314)</f>
        <v/>
      </c>
      <c r="CV319" s="392">
        <f>IF(OR(CV314="",CV318=""),"",CV318-CV314)</f>
        <v/>
      </c>
      <c r="CW319" s="392">
        <f>IF(OR(CW314="",CW318=""),"",CW318-CW314)</f>
        <v/>
      </c>
      <c r="CX319" s="392">
        <f>IF(OR(CX314="",CX318=""),"",CX318-CX314)</f>
        <v/>
      </c>
      <c r="CY319" s="392">
        <f>IF(OR(CY314="",CY318=""),"",CY318-CY314)</f>
        <v/>
      </c>
      <c r="CZ319" s="392">
        <f>IF(OR(CZ314="",CZ318=""),"",CZ318-CZ314)</f>
        <v/>
      </c>
      <c r="DA319" s="392">
        <f>IF(OR(DA314="",DA318=""),"",DA318-DA314)</f>
        <v/>
      </c>
      <c r="DB319" s="392">
        <f>IF(OR(DB314="",DB318=""),"",DB318-DB314)</f>
        <v/>
      </c>
      <c r="DC319" s="392">
        <f>IF(OR(DC314="",DC318=""),"",DC318-DC314)</f>
        <v/>
      </c>
      <c r="DD319" s="392">
        <f>IF(OR(DD314="",DD318=""),"",DD318-DD314)</f>
        <v/>
      </c>
      <c r="DE319" s="392">
        <f>IF(OR(DE314="",DE318=""),"",DE318-DE314)</f>
        <v/>
      </c>
    </row>
    <row r="321" ht="15" customHeight="1" s="410">
      <c r="A321" s="402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5" customHeight="1" s="410">
      <c r="A322" s="397" t="inlineStr">
        <is>
          <t>Actual per B/S</t>
        </is>
      </c>
      <c r="B322" s="392">
        <f>IF(B306="","",B306)</f>
        <v/>
      </c>
      <c r="C322" s="392">
        <f>IF(C306="","",C306)</f>
        <v/>
      </c>
      <c r="D322" s="392">
        <f>IF(D306="","",D306)</f>
        <v/>
      </c>
      <c r="E322" s="392">
        <f>IF(E306="","",E306)</f>
        <v/>
      </c>
      <c r="F322" s="392">
        <f>IF(F306="","",F306)</f>
        <v/>
      </c>
      <c r="G322" s="392">
        <f>IF(G306="","",G306)</f>
        <v/>
      </c>
      <c r="H322" s="392">
        <f>IF(H306="","",H306)</f>
        <v/>
      </c>
      <c r="I322" s="392">
        <f>IF(I306="","",I306)</f>
        <v/>
      </c>
      <c r="J322" s="392">
        <f>IF(J306="","",J306)</f>
        <v/>
      </c>
      <c r="K322" s="392">
        <f>IF(K306="","",K306)</f>
        <v/>
      </c>
      <c r="L322" s="392">
        <f>IF(L306="","",L306)</f>
        <v/>
      </c>
      <c r="M322" s="392">
        <f>IF(M306="","",M306)</f>
        <v/>
      </c>
      <c r="N322" s="392">
        <f>IF(N306="","",N306)</f>
        <v/>
      </c>
      <c r="O322" s="392">
        <f>IF(O306="","",O306)</f>
        <v/>
      </c>
      <c r="P322" s="392">
        <f>IF(P306="","",P306)</f>
        <v/>
      </c>
      <c r="Q322" s="392">
        <f>IF(Q306="","",Q306)</f>
        <v/>
      </c>
      <c r="R322" s="392">
        <f>IF(R306="","",R306)</f>
        <v/>
      </c>
      <c r="S322" s="392">
        <f>IF(S306="","",S306)</f>
        <v/>
      </c>
      <c r="T322" s="392">
        <f>IF(T306="","",T306)</f>
        <v/>
      </c>
      <c r="U322" s="392">
        <f>IF(U306="","",U306)</f>
        <v/>
      </c>
      <c r="V322" s="392">
        <f>IF(V306="","",V306)</f>
        <v/>
      </c>
      <c r="W322" s="392">
        <f>IF(W306="","",W306)</f>
        <v/>
      </c>
      <c r="X322" s="392">
        <f>IF(X306="","",X306)</f>
        <v/>
      </c>
      <c r="Y322" s="392">
        <f>IF(Y306="","",Y306)</f>
        <v/>
      </c>
      <c r="Z322" s="392">
        <f>IF(Z306="","",Z306)</f>
        <v/>
      </c>
      <c r="AA322" s="392">
        <f>IF(AA306="","",AA306)</f>
        <v/>
      </c>
      <c r="AB322" s="392">
        <f>IF(AB306="","",AB306)</f>
        <v/>
      </c>
      <c r="AC322" s="392">
        <f>IF(AC306="","",AC306)</f>
        <v/>
      </c>
      <c r="AD322" s="392">
        <f>IF(AD306="","",AD306)</f>
        <v/>
      </c>
      <c r="AE322" s="392">
        <f>IF(AE306="","",AE306)</f>
        <v/>
      </c>
      <c r="AF322" s="392">
        <f>IF(AF306="","",AF306)</f>
        <v/>
      </c>
      <c r="AG322" s="392">
        <f>IF(AG306="","",AG306)</f>
        <v/>
      </c>
      <c r="AH322" s="392">
        <f>IF(AH306="","",AH306)</f>
        <v/>
      </c>
      <c r="AI322" s="392">
        <f>IF(AI306="","",AI306)</f>
        <v/>
      </c>
      <c r="AJ322" s="392">
        <f>IF(AJ306="","",AJ306)</f>
        <v/>
      </c>
      <c r="AK322" s="392">
        <f>IF(AK306="","",AK306)</f>
        <v/>
      </c>
      <c r="AL322" s="392">
        <f>IF(AL306="","",AL306)</f>
        <v/>
      </c>
      <c r="AM322" s="392">
        <f>IF(AM306="","",AM306)</f>
        <v/>
      </c>
      <c r="AN322" s="392">
        <f>IF(AN306="","",AN306)</f>
        <v/>
      </c>
      <c r="AO322" s="392">
        <f>IF(AO306="","",AO306)</f>
        <v/>
      </c>
      <c r="AP322" s="392">
        <f>IF(AP306="","",AP306)</f>
        <v/>
      </c>
      <c r="AQ322" s="392">
        <f>IF(AQ306="","",AQ306)</f>
        <v/>
      </c>
      <c r="AR322" s="392">
        <f>IF(AR306="","",AR306)</f>
        <v/>
      </c>
      <c r="AS322" s="392">
        <f>IF(AS306="","",AS306)</f>
        <v/>
      </c>
      <c r="AT322" s="392">
        <f>IF(AT306="","",AT306)</f>
        <v/>
      </c>
      <c r="AU322" s="392">
        <f>IF(AU306="","",AU306)</f>
        <v/>
      </c>
      <c r="AV322" s="392">
        <f>IF(AV306="","",AV306)</f>
        <v/>
      </c>
      <c r="AW322" s="392">
        <f>IF(AW306="","",AW306)</f>
        <v/>
      </c>
      <c r="AX322" s="392">
        <f>IF(AX306="","",AX306)</f>
        <v/>
      </c>
      <c r="AY322" s="392">
        <f>IF(AY306="","",AY306)</f>
        <v/>
      </c>
      <c r="AZ322" s="392">
        <f>IF(AZ306="","",AZ306)</f>
        <v/>
      </c>
      <c r="BA322" s="392">
        <f>IF(BA306="","",BA306)</f>
        <v/>
      </c>
      <c r="BB322" s="392">
        <f>IF(BB306="","",BB306)</f>
        <v/>
      </c>
      <c r="BC322" s="392">
        <f>IF(BC306="","",BC306)</f>
        <v/>
      </c>
      <c r="BD322" s="392">
        <f>IF(BD306="","",BD306)</f>
        <v/>
      </c>
      <c r="BE322" s="392">
        <f>IF(BE306="","",BE306)</f>
        <v/>
      </c>
      <c r="BF322" s="392">
        <f>IF(BF306="","",BF306)</f>
        <v/>
      </c>
      <c r="BG322" s="392">
        <f>IF(BG306="","",BG306)</f>
        <v/>
      </c>
      <c r="BH322" s="392">
        <f>IF(BH306="","",BH306)</f>
        <v/>
      </c>
      <c r="BI322" s="392">
        <f>IF(BI306="","",BI306)</f>
        <v/>
      </c>
      <c r="BJ322" s="392">
        <f>IF(BJ306="","",BJ306)</f>
        <v/>
      </c>
      <c r="BK322" s="392">
        <f>IF(BK306="","",BK306)</f>
        <v/>
      </c>
      <c r="BL322" s="392">
        <f>IF(BL306="","",BL306)</f>
        <v/>
      </c>
      <c r="BM322" s="392">
        <f>IF(BM306="","",BM306)</f>
        <v/>
      </c>
      <c r="BN322" s="392">
        <f>IF(BN306="","",BN306)</f>
        <v/>
      </c>
      <c r="BO322" s="392">
        <f>IF(BO306="","",BO306)</f>
        <v/>
      </c>
      <c r="BP322" s="392">
        <f>IF(BP306="","",BP306)</f>
        <v/>
      </c>
      <c r="BQ322" s="392">
        <f>IF(BQ306="","",BQ306)</f>
        <v/>
      </c>
      <c r="BR322" s="392">
        <f>IF(BR306="","",BR306)</f>
        <v/>
      </c>
      <c r="BS322" s="392">
        <f>IF(BS306="","",BS306)</f>
        <v/>
      </c>
      <c r="BT322" s="392">
        <f>IF(BT306="","",BT306)</f>
        <v/>
      </c>
      <c r="BU322" s="392">
        <f>IF(BU306="","",BU306)</f>
        <v/>
      </c>
      <c r="BV322" s="392">
        <f>IF(BV306="","",BV306)</f>
        <v/>
      </c>
      <c r="BW322" s="392">
        <f>IF(BW306="","",BW306)</f>
        <v/>
      </c>
      <c r="BX322" s="392">
        <f>IF(BX306="","",BX306)</f>
        <v/>
      </c>
      <c r="BY322" s="392">
        <f>IF(BY306="","",BY306)</f>
        <v/>
      </c>
      <c r="BZ322" s="392">
        <f>IF(BZ306="","",BZ306)</f>
        <v/>
      </c>
      <c r="CA322" s="392">
        <f>IF(CA306="","",CA306)</f>
        <v/>
      </c>
      <c r="CB322" s="392">
        <f>IF(CB306="","",CB306)</f>
        <v/>
      </c>
      <c r="CC322" s="392">
        <f>IF(CC306="","",CC306)</f>
        <v/>
      </c>
      <c r="CD322" s="392">
        <f>IF(CD306="","",CD306)</f>
        <v/>
      </c>
      <c r="CE322" s="392">
        <f>IF(CE306="","",CE306)</f>
        <v/>
      </c>
      <c r="CF322" s="392">
        <f>IF(CF306="","",CF306)</f>
        <v/>
      </c>
      <c r="CG322" s="392">
        <f>IF(CG306="","",CG306)</f>
        <v/>
      </c>
      <c r="CH322" s="392">
        <f>IF(CH306="","",CH306)</f>
        <v/>
      </c>
      <c r="CI322" s="392">
        <f>IF(CI306="","",CI306)</f>
        <v/>
      </c>
      <c r="CJ322" s="392">
        <f>IF(CJ306="","",CJ306)</f>
        <v/>
      </c>
      <c r="CK322" s="392">
        <f>IF(CK306="","",CK306)</f>
        <v/>
      </c>
      <c r="CL322" s="392">
        <f>IF(CL306="","",CL306)</f>
        <v/>
      </c>
      <c r="CM322" s="392">
        <f>IF(CM306="","",CM306)</f>
        <v/>
      </c>
      <c r="CN322" s="392">
        <f>IF(CN306="","",CN306)</f>
        <v/>
      </c>
      <c r="CO322" s="392">
        <f>IF(CO306="","",CO306)</f>
        <v/>
      </c>
      <c r="CP322" s="392">
        <f>IF(CP306="","",CP306)</f>
        <v/>
      </c>
      <c r="CQ322" s="392">
        <f>IF(CQ306="","",CQ306)</f>
        <v/>
      </c>
      <c r="CR322" s="392">
        <f>IF(CR306="","",CR306)</f>
        <v/>
      </c>
      <c r="CS322" s="392">
        <f>IF(CS306="","",CS306)</f>
        <v/>
      </c>
      <c r="CT322" s="392">
        <f>IF(CT306="","",CT306)</f>
        <v/>
      </c>
      <c r="CU322" s="392">
        <f>IF(CU306="","",CU306)</f>
        <v/>
      </c>
      <c r="CV322" s="392">
        <f>IF(CV306="","",CV306)</f>
        <v/>
      </c>
      <c r="CW322" s="392">
        <f>IF(CW306="","",CW306)</f>
        <v/>
      </c>
      <c r="CX322" s="392">
        <f>IF(CX306="","",CX306)</f>
        <v/>
      </c>
      <c r="CY322" s="392">
        <f>IF(CY306="","",CY306)</f>
        <v/>
      </c>
      <c r="CZ322" s="392">
        <f>IF(CZ306="","",CZ306)</f>
        <v/>
      </c>
      <c r="DA322" s="392">
        <f>IF(DA306="","",DA306)</f>
        <v/>
      </c>
      <c r="DB322" s="392">
        <f>IF(DB306="","",DB306)</f>
        <v/>
      </c>
      <c r="DC322" s="392">
        <f>IF(DC306="","",DC306)</f>
        <v/>
      </c>
      <c r="DD322" s="392">
        <f>IF(DD306="","",DD306)</f>
        <v/>
      </c>
      <c r="DE322" s="392">
        <f>IF(DE306="","",DE306)</f>
        <v/>
      </c>
    </row>
    <row r="323" ht="15" customHeight="1" s="410">
      <c r="A323" s="397" t="inlineStr">
        <is>
          <t>Model (live): projected ending cash; in the last closed month, the next month's opening balance</t>
        </is>
      </c>
      <c r="B323" s="392">
        <f>IF(B$4="Actuals",IF(C$4="Actuals","",C276),B281)</f>
        <v/>
      </c>
      <c r="C323" s="392">
        <f>IF(C$4="Actuals",IF(D$4="Actuals","",D276),C281)</f>
        <v/>
      </c>
      <c r="D323" s="392">
        <f>IF(D$4="Actuals",IF(E$4="Actuals","",E276),D281)</f>
        <v/>
      </c>
      <c r="E323" s="392">
        <f>IF(E$4="Actuals",IF(F$4="Actuals","",F276),E281)</f>
        <v/>
      </c>
      <c r="F323" s="392">
        <f>IF(F$4="Actuals",IF(G$4="Actuals","",G276),F281)</f>
        <v/>
      </c>
      <c r="G323" s="392">
        <f>IF(G$4="Actuals",IF(H$4="Actuals","",H276),G281)</f>
        <v/>
      </c>
      <c r="H323" s="392">
        <f>IF(H$4="Actuals",IF(I$4="Actuals","",I276),H281)</f>
        <v/>
      </c>
      <c r="I323" s="392">
        <f>IF(I$4="Actuals",IF(J$4="Actuals","",J276),I281)</f>
        <v/>
      </c>
      <c r="J323" s="392">
        <f>IF(J$4="Actuals",IF(K$4="Actuals","",K276),J281)</f>
        <v/>
      </c>
      <c r="K323" s="392">
        <f>IF(K$4="Actuals",IF(L$4="Actuals","",L276),K281)</f>
        <v/>
      </c>
      <c r="L323" s="392">
        <f>IF(L$4="Actuals",IF(M$4="Actuals","",M276),L281)</f>
        <v/>
      </c>
      <c r="M323" s="392">
        <f>IF(M$4="Actuals",IF(N$4="Actuals","",N276),M281)</f>
        <v/>
      </c>
      <c r="N323" s="392">
        <f>IF(N$4="Actuals",IF(O$4="Actuals","",O276),N281)</f>
        <v/>
      </c>
      <c r="O323" s="392">
        <f>IF(O$4="Actuals",IF(P$4="Actuals","",P276),O281)</f>
        <v/>
      </c>
      <c r="P323" s="392">
        <f>IF(P$4="Actuals",IF(Q$4="Actuals","",Q276),P281)</f>
        <v/>
      </c>
      <c r="Q323" s="392">
        <f>IF(Q$4="Actuals",IF(R$4="Actuals","",R276),Q281)</f>
        <v/>
      </c>
      <c r="R323" s="392">
        <f>IF(R$4="Actuals",IF(S$4="Actuals","",S276),R281)</f>
        <v/>
      </c>
      <c r="S323" s="392">
        <f>IF(S$4="Actuals",IF(T$4="Actuals","",T276),S281)</f>
        <v/>
      </c>
      <c r="T323" s="392">
        <f>IF(T$4="Actuals",IF(U$4="Actuals","",U276),T281)</f>
        <v/>
      </c>
      <c r="U323" s="392">
        <f>IF(U$4="Actuals",IF(V$4="Actuals","",V276),U281)</f>
        <v/>
      </c>
      <c r="V323" s="392">
        <f>IF(V$4="Actuals",IF(W$4="Actuals","",W276),V281)</f>
        <v/>
      </c>
      <c r="W323" s="392">
        <f>IF(W$4="Actuals",IF(X$4="Actuals","",X276),W281)</f>
        <v/>
      </c>
      <c r="X323" s="392">
        <f>IF(X$4="Actuals",IF(Y$4="Actuals","",Y276),X281)</f>
        <v/>
      </c>
      <c r="Y323" s="392">
        <f>IF(Y$4="Actuals",IF(Z$4="Actuals","",Z276),Y281)</f>
        <v/>
      </c>
      <c r="Z323" s="392">
        <f>IF(Z$4="Actuals",IF(AA$4="Actuals","",AA276),Z281)</f>
        <v/>
      </c>
      <c r="AA323" s="392">
        <f>IF(AA$4="Actuals",IF(AB$4="Actuals","",AB276),AA281)</f>
        <v/>
      </c>
      <c r="AB323" s="392">
        <f>IF(AB$4="Actuals",IF(AC$4="Actuals","",AC276),AB281)</f>
        <v/>
      </c>
      <c r="AC323" s="392">
        <f>IF(AC$4="Actuals",IF(AD$4="Actuals","",AD276),AC281)</f>
        <v/>
      </c>
      <c r="AD323" s="392">
        <f>IF(AD$4="Actuals",IF(AE$4="Actuals","",AE276),AD281)</f>
        <v/>
      </c>
      <c r="AE323" s="392">
        <f>IF(AE$4="Actuals",IF(AF$4="Actuals","",AF276),AE281)</f>
        <v/>
      </c>
      <c r="AF323" s="392">
        <f>IF(AF$4="Actuals",IF(AG$4="Actuals","",AG276),AF281)</f>
        <v/>
      </c>
      <c r="AG323" s="392">
        <f>IF(AG$4="Actuals",IF(AH$4="Actuals","",AH276),AG281)</f>
        <v/>
      </c>
      <c r="AH323" s="392">
        <f>IF(AH$4="Actuals",IF(AI$4="Actuals","",AI276),AH281)</f>
        <v/>
      </c>
      <c r="AI323" s="392">
        <f>IF(AI$4="Actuals",IF(AJ$4="Actuals","",AJ276),AI281)</f>
        <v/>
      </c>
      <c r="AJ323" s="392">
        <f>IF(AJ$4="Actuals",IF(AK$4="Actuals","",AK276),AJ281)</f>
        <v/>
      </c>
      <c r="AK323" s="392">
        <f>IF(AK$4="Actuals",IF(AL$4="Actuals","",AL276),AK281)</f>
        <v/>
      </c>
      <c r="AL323" s="392">
        <f>IF(AL$4="Actuals",IF(AM$4="Actuals","",AM276),AL281)</f>
        <v/>
      </c>
      <c r="AM323" s="392">
        <f>IF(AM$4="Actuals",IF(AN$4="Actuals","",AN276),AM281)</f>
        <v/>
      </c>
      <c r="AN323" s="392">
        <f>IF(AN$4="Actuals",IF(AO$4="Actuals","",AO276),AN281)</f>
        <v/>
      </c>
      <c r="AO323" s="392">
        <f>IF(AO$4="Actuals",IF(AP$4="Actuals","",AP276),AO281)</f>
        <v/>
      </c>
      <c r="AP323" s="392">
        <f>IF(AP$4="Actuals",IF(AQ$4="Actuals","",AQ276),AP281)</f>
        <v/>
      </c>
      <c r="AQ323" s="392">
        <f>IF(AQ$4="Actuals",IF(AR$4="Actuals","",AR276),AQ281)</f>
        <v/>
      </c>
      <c r="AR323" s="392">
        <f>IF(AR$4="Actuals",IF(AS$4="Actuals","",AS276),AR281)</f>
        <v/>
      </c>
      <c r="AS323" s="392">
        <f>IF(AS$4="Actuals",IF(AT$4="Actuals","",AT276),AS281)</f>
        <v/>
      </c>
      <c r="AT323" s="392">
        <f>IF(AT$4="Actuals",IF(AU$4="Actuals","",AU276),AT281)</f>
        <v/>
      </c>
      <c r="AU323" s="392">
        <f>IF(AU$4="Actuals",IF(AV$4="Actuals","",AV276),AU281)</f>
        <v/>
      </c>
      <c r="AV323" s="392">
        <f>IF(AV$4="Actuals",IF(AW$4="Actuals","",AW276),AV281)</f>
        <v/>
      </c>
      <c r="AW323" s="392">
        <f>IF(AW$4="Actuals",IF(AX$4="Actuals","",AX276),AW281)</f>
        <v/>
      </c>
      <c r="AX323" s="392">
        <f>IF(AX$4="Actuals",IF(AY$4="Actuals","",AY276),AX281)</f>
        <v/>
      </c>
      <c r="AY323" s="392">
        <f>IF(AY$4="Actuals",IF(AZ$4="Actuals","",AZ276),AY281)</f>
        <v/>
      </c>
      <c r="AZ323" s="392">
        <f>IF(AZ$4="Actuals",IF(BA$4="Actuals","",BA276),AZ281)</f>
        <v/>
      </c>
      <c r="BA323" s="392">
        <f>IF(BA$4="Actuals",IF(BB$4="Actuals","",BB276),BA281)</f>
        <v/>
      </c>
      <c r="BB323" s="392">
        <f>IF(BB$4="Actuals",IF(BC$4="Actuals","",BC276),BB281)</f>
        <v/>
      </c>
      <c r="BC323" s="392">
        <f>IF(BC$4="Actuals",IF(BD$4="Actuals","",BD276),BC281)</f>
        <v/>
      </c>
      <c r="BD323" s="392">
        <f>IF(BD$4="Actuals",IF(BE$4="Actuals","",BE276),BD281)</f>
        <v/>
      </c>
      <c r="BE323" s="392">
        <f>IF(BE$4="Actuals",IF(BF$4="Actuals","",BF276),BE281)</f>
        <v/>
      </c>
      <c r="BF323" s="392">
        <f>IF(BF$4="Actuals",IF(BG$4="Actuals","",BG276),BF281)</f>
        <v/>
      </c>
      <c r="BG323" s="392">
        <f>IF(BG$4="Actuals",IF(BH$4="Actuals","",BH276),BG281)</f>
        <v/>
      </c>
      <c r="BH323" s="392">
        <f>IF(BH$4="Actuals",IF(BI$4="Actuals","",BI276),BH281)</f>
        <v/>
      </c>
      <c r="BI323" s="392">
        <f>IF(BI$4="Actuals",IF(BJ$4="Actuals","",BJ276),BI281)</f>
        <v/>
      </c>
      <c r="BJ323" s="392">
        <f>IF(BJ$4="Actuals",IF(BK$4="Actuals","",BK276),BJ281)</f>
        <v/>
      </c>
      <c r="BK323" s="392">
        <f>IF(BK$4="Actuals",IF(BL$4="Actuals","",BL276),BK281)</f>
        <v/>
      </c>
      <c r="BL323" s="392">
        <f>IF(BL$4="Actuals",IF(BM$4="Actuals","",BM276),BL281)</f>
        <v/>
      </c>
      <c r="BM323" s="392">
        <f>IF(BM$4="Actuals",IF(BN$4="Actuals","",BN276),BM281)</f>
        <v/>
      </c>
      <c r="BN323" s="392">
        <f>IF(BN$4="Actuals",IF(BO$4="Actuals","",BO276),BN281)</f>
        <v/>
      </c>
      <c r="BO323" s="392">
        <f>IF(BO$4="Actuals",IF(BP$4="Actuals","",BP276),BO281)</f>
        <v/>
      </c>
      <c r="BP323" s="392">
        <f>IF(BP$4="Actuals",IF(BQ$4="Actuals","",BQ276),BP281)</f>
        <v/>
      </c>
      <c r="BQ323" s="392">
        <f>IF(BQ$4="Actuals",IF(BR$4="Actuals","",BR276),BQ281)</f>
        <v/>
      </c>
      <c r="BR323" s="392">
        <f>IF(BR$4="Actuals",IF(BS$4="Actuals","",BS276),BR281)</f>
        <v/>
      </c>
      <c r="BS323" s="392">
        <f>IF(BS$4="Actuals",IF(BT$4="Actuals","",BT276),BS281)</f>
        <v/>
      </c>
      <c r="BT323" s="392">
        <f>IF(BT$4="Actuals",IF(BU$4="Actuals","",BU276),BT281)</f>
        <v/>
      </c>
      <c r="BU323" s="392">
        <f>IF(BU$4="Actuals",IF(BV$4="Actuals","",BV276),BU281)</f>
        <v/>
      </c>
      <c r="BV323" s="392">
        <f>IF(BV$4="Actuals",IF(BW$4="Actuals","",BW276),BV281)</f>
        <v/>
      </c>
      <c r="BW323" s="392">
        <f>IF(BW$4="Actuals",IF(BX$4="Actuals","",BX276),BW281)</f>
        <v/>
      </c>
      <c r="BX323" s="392">
        <f>IF(BX$4="Actuals",IF(BY$4="Actuals","",BY276),BX281)</f>
        <v/>
      </c>
      <c r="BY323" s="392">
        <f>IF(BY$4="Actuals",IF(BZ$4="Actuals","",BZ276),BY281)</f>
        <v/>
      </c>
      <c r="BZ323" s="392">
        <f>IF(BZ$4="Actuals",IF(CA$4="Actuals","",CA276),BZ281)</f>
        <v/>
      </c>
      <c r="CA323" s="392">
        <f>IF(CA$4="Actuals",IF(CB$4="Actuals","",CB276),CA281)</f>
        <v/>
      </c>
      <c r="CB323" s="392">
        <f>IF(CB$4="Actuals",IF(CC$4="Actuals","",CC276),CB281)</f>
        <v/>
      </c>
      <c r="CC323" s="392">
        <f>IF(CC$4="Actuals",IF(CD$4="Actuals","",CD276),CC281)</f>
        <v/>
      </c>
      <c r="CD323" s="392">
        <f>IF(CD$4="Actuals",IF(CE$4="Actuals","",CE276),CD281)</f>
        <v/>
      </c>
      <c r="CE323" s="392">
        <f>IF(CE$4="Actuals",IF(CF$4="Actuals","",CF276),CE281)</f>
        <v/>
      </c>
      <c r="CF323" s="392">
        <f>IF(CF$4="Actuals",IF(CG$4="Actuals","",CG276),CF281)</f>
        <v/>
      </c>
      <c r="CG323" s="392">
        <f>IF(CG$4="Actuals",IF(CH$4="Actuals","",CH276),CG281)</f>
        <v/>
      </c>
      <c r="CH323" s="392">
        <f>IF(CH$4="Actuals",IF(CI$4="Actuals","",CI276),CH281)</f>
        <v/>
      </c>
      <c r="CI323" s="392">
        <f>IF(CI$4="Actuals",IF(CJ$4="Actuals","",CJ276),CI281)</f>
        <v/>
      </c>
      <c r="CJ323" s="392">
        <f>IF(CJ$4="Actuals",IF(CK$4="Actuals","",CK276),CJ281)</f>
        <v/>
      </c>
      <c r="CK323" s="392">
        <f>IF(CK$4="Actuals",IF(CL$4="Actuals","",CL276),CK281)</f>
        <v/>
      </c>
      <c r="CL323" s="392">
        <f>IF(CL$4="Actuals",IF(CM$4="Actuals","",CM276),CL281)</f>
        <v/>
      </c>
      <c r="CM323" s="392">
        <f>IF(CM$4="Actuals",IF(CN$4="Actuals","",CN276),CM281)</f>
        <v/>
      </c>
      <c r="CN323" s="392">
        <f>IF(CN$4="Actuals",IF(CO$4="Actuals","",CO276),CN281)</f>
        <v/>
      </c>
      <c r="CO323" s="392">
        <f>IF(CO$4="Actuals",IF(CP$4="Actuals","",CP276),CO281)</f>
        <v/>
      </c>
      <c r="CP323" s="392">
        <f>IF(CP$4="Actuals",IF(CQ$4="Actuals","",CQ276),CP281)</f>
        <v/>
      </c>
      <c r="CQ323" s="392">
        <f>IF(CQ$4="Actuals",IF(CR$4="Actuals","",CR276),CQ281)</f>
        <v/>
      </c>
      <c r="CR323" s="392">
        <f>IF(CR$4="Actuals",IF(CS$4="Actuals","",CS276),CR281)</f>
        <v/>
      </c>
      <c r="CS323" s="392">
        <f>IF(CS$4="Actuals",IF(CT$4="Actuals","",CT276),CS281)</f>
        <v/>
      </c>
      <c r="CT323" s="392">
        <f>IF(CT$4="Actuals",IF(CU$4="Actuals","",CU276),CT281)</f>
        <v/>
      </c>
      <c r="CU323" s="392">
        <f>IF(CU$4="Actuals",IF(CV$4="Actuals","",CV276),CU281)</f>
        <v/>
      </c>
      <c r="CV323" s="392">
        <f>IF(CV$4="Actuals",IF(CW$4="Actuals","",CW276),CV281)</f>
        <v/>
      </c>
      <c r="CW323" s="392">
        <f>IF(CW$4="Actuals",IF(CX$4="Actuals","",CX276),CW281)</f>
        <v/>
      </c>
      <c r="CX323" s="392">
        <f>IF(CX$4="Actuals",IF(CY$4="Actuals","",CY276),CX281)</f>
        <v/>
      </c>
      <c r="CY323" s="392">
        <f>IF(CY$4="Actuals",IF(CZ$4="Actuals","",CZ276),CY281)</f>
        <v/>
      </c>
      <c r="CZ323" s="392">
        <f>IF(CZ$4="Actuals",IF(DA$4="Actuals","",DA276),CZ281)</f>
        <v/>
      </c>
      <c r="DA323" s="392">
        <f>IF(DA$4="Actuals",IF(DB$4="Actuals","",DB276),DA281)</f>
        <v/>
      </c>
      <c r="DB323" s="392">
        <f>IF(DB$4="Actuals",IF(DC$4="Actuals","",DC276),DB281)</f>
        <v/>
      </c>
      <c r="DC323" s="392">
        <f>IF(DC$4="Actuals",IF(DD$4="Actuals","",DD276),DC281)</f>
        <v/>
      </c>
      <c r="DD323" s="392">
        <f>IF(DD$4="Actuals",IF(DE$4="Actuals","",DE276),DD281)</f>
        <v/>
      </c>
      <c r="DE323" s="392">
        <f>IF(DE$4="Actuals",IF(DF$4="Actuals","",DF276),DE281)</f>
        <v/>
      </c>
    </row>
    <row r="324" ht="15" customHeight="1" s="410">
      <c r="A324" s="397" t="inlineStr">
        <is>
          <t>Variance — model less actual (must be 0 on the opening balance)</t>
        </is>
      </c>
      <c r="B324" s="392">
        <f>IF(OR(B322="",B323=""),"",B323-B322)</f>
        <v/>
      </c>
      <c r="C324" s="392">
        <f>IF(OR(C322="",C323=""),"",C323-C322)</f>
        <v/>
      </c>
      <c r="D324" s="392">
        <f>IF(OR(D322="",D323=""),"",D323-D322)</f>
        <v/>
      </c>
      <c r="E324" s="392">
        <f>IF(OR(E322="",E323=""),"",E323-E322)</f>
        <v/>
      </c>
      <c r="F324" s="392">
        <f>IF(OR(F322="",F323=""),"",F323-F322)</f>
        <v/>
      </c>
      <c r="G324" s="392">
        <f>IF(OR(G322="",G323=""),"",G323-G322)</f>
        <v/>
      </c>
      <c r="H324" s="392">
        <f>IF(OR(H322="",H323=""),"",H323-H322)</f>
        <v/>
      </c>
      <c r="I324" s="392">
        <f>IF(OR(I322="",I323=""),"",I323-I322)</f>
        <v/>
      </c>
      <c r="J324" s="392">
        <f>IF(OR(J322="",J323=""),"",J323-J322)</f>
        <v/>
      </c>
      <c r="K324" s="392">
        <f>IF(OR(K322="",K323=""),"",K323-K322)</f>
        <v/>
      </c>
      <c r="L324" s="392">
        <f>IF(OR(L322="",L323=""),"",L323-L322)</f>
        <v/>
      </c>
      <c r="M324" s="392">
        <f>IF(OR(M322="",M323=""),"",M323-M322)</f>
        <v/>
      </c>
      <c r="N324" s="392">
        <f>IF(OR(N322="",N323=""),"",N323-N322)</f>
        <v/>
      </c>
      <c r="O324" s="392">
        <f>IF(OR(O322="",O323=""),"",O323-O322)</f>
        <v/>
      </c>
      <c r="P324" s="392">
        <f>IF(OR(P322="",P323=""),"",P323-P322)</f>
        <v/>
      </c>
      <c r="Q324" s="392">
        <f>IF(OR(Q322="",Q323=""),"",Q323-Q322)</f>
        <v/>
      </c>
      <c r="R324" s="392">
        <f>IF(OR(R322="",R323=""),"",R323-R322)</f>
        <v/>
      </c>
      <c r="S324" s="392">
        <f>IF(OR(S322="",S323=""),"",S323-S322)</f>
        <v/>
      </c>
      <c r="T324" s="392">
        <f>IF(OR(T322="",T323=""),"",T323-T322)</f>
        <v/>
      </c>
      <c r="U324" s="392">
        <f>IF(OR(U322="",U323=""),"",U323-U322)</f>
        <v/>
      </c>
      <c r="V324" s="392">
        <f>IF(OR(V322="",V323=""),"",V323-V322)</f>
        <v/>
      </c>
      <c r="W324" s="392">
        <f>IF(OR(W322="",W323=""),"",W323-W322)</f>
        <v/>
      </c>
      <c r="X324" s="392">
        <f>IF(OR(X322="",X323=""),"",X323-X322)</f>
        <v/>
      </c>
      <c r="Y324" s="392">
        <f>IF(OR(Y322="",Y323=""),"",Y323-Y322)</f>
        <v/>
      </c>
      <c r="Z324" s="392">
        <f>IF(OR(Z322="",Z323=""),"",Z323-Z322)</f>
        <v/>
      </c>
      <c r="AA324" s="392">
        <f>IF(OR(AA322="",AA323=""),"",AA323-AA322)</f>
        <v/>
      </c>
      <c r="AB324" s="392">
        <f>IF(OR(AB322="",AB323=""),"",AB323-AB322)</f>
        <v/>
      </c>
      <c r="AC324" s="392">
        <f>IF(OR(AC322="",AC323=""),"",AC323-AC322)</f>
        <v/>
      </c>
      <c r="AD324" s="392">
        <f>IF(OR(AD322="",AD323=""),"",AD323-AD322)</f>
        <v/>
      </c>
      <c r="AE324" s="392">
        <f>IF(OR(AE322="",AE323=""),"",AE323-AE322)</f>
        <v/>
      </c>
      <c r="AF324" s="392">
        <f>IF(OR(AF322="",AF323=""),"",AF323-AF322)</f>
        <v/>
      </c>
      <c r="AG324" s="392">
        <f>IF(OR(AG322="",AG323=""),"",AG323-AG322)</f>
        <v/>
      </c>
      <c r="AH324" s="392">
        <f>IF(OR(AH322="",AH323=""),"",AH323-AH322)</f>
        <v/>
      </c>
      <c r="AI324" s="392">
        <f>IF(OR(AI322="",AI323=""),"",AI323-AI322)</f>
        <v/>
      </c>
      <c r="AJ324" s="392">
        <f>IF(OR(AJ322="",AJ323=""),"",AJ323-AJ322)</f>
        <v/>
      </c>
      <c r="AK324" s="392">
        <f>IF(OR(AK322="",AK323=""),"",AK323-AK322)</f>
        <v/>
      </c>
      <c r="AL324" s="392">
        <f>IF(OR(AL322="",AL323=""),"",AL323-AL322)</f>
        <v/>
      </c>
      <c r="AM324" s="392">
        <f>IF(OR(AM322="",AM323=""),"",AM323-AM322)</f>
        <v/>
      </c>
      <c r="AN324" s="392">
        <f>IF(OR(AN322="",AN323=""),"",AN323-AN322)</f>
        <v/>
      </c>
      <c r="AO324" s="392">
        <f>IF(OR(AO322="",AO323=""),"",AO323-AO322)</f>
        <v/>
      </c>
      <c r="AP324" s="392">
        <f>IF(OR(AP322="",AP323=""),"",AP323-AP322)</f>
        <v/>
      </c>
      <c r="AQ324" s="392">
        <f>IF(OR(AQ322="",AQ323=""),"",AQ323-AQ322)</f>
        <v/>
      </c>
      <c r="AR324" s="392">
        <f>IF(OR(AR322="",AR323=""),"",AR323-AR322)</f>
        <v/>
      </c>
      <c r="AS324" s="392">
        <f>IF(OR(AS322="",AS323=""),"",AS323-AS322)</f>
        <v/>
      </c>
      <c r="AT324" s="392">
        <f>IF(OR(AT322="",AT323=""),"",AT323-AT322)</f>
        <v/>
      </c>
      <c r="AU324" s="392">
        <f>IF(OR(AU322="",AU323=""),"",AU323-AU322)</f>
        <v/>
      </c>
      <c r="AV324" s="392">
        <f>IF(OR(AV322="",AV323=""),"",AV323-AV322)</f>
        <v/>
      </c>
      <c r="AW324" s="392">
        <f>IF(OR(AW322="",AW323=""),"",AW323-AW322)</f>
        <v/>
      </c>
      <c r="AX324" s="392">
        <f>IF(OR(AX322="",AX323=""),"",AX323-AX322)</f>
        <v/>
      </c>
      <c r="AY324" s="392">
        <f>IF(OR(AY322="",AY323=""),"",AY323-AY322)</f>
        <v/>
      </c>
      <c r="AZ324" s="392">
        <f>IF(OR(AZ322="",AZ323=""),"",AZ323-AZ322)</f>
        <v/>
      </c>
      <c r="BA324" s="392">
        <f>IF(OR(BA322="",BA323=""),"",BA323-BA322)</f>
        <v/>
      </c>
      <c r="BB324" s="392">
        <f>IF(OR(BB322="",BB323=""),"",BB323-BB322)</f>
        <v/>
      </c>
      <c r="BC324" s="392">
        <f>IF(OR(BC322="",BC323=""),"",BC323-BC322)</f>
        <v/>
      </c>
      <c r="BD324" s="392">
        <f>IF(OR(BD322="",BD323=""),"",BD323-BD322)</f>
        <v/>
      </c>
      <c r="BE324" s="392">
        <f>IF(OR(BE322="",BE323=""),"",BE323-BE322)</f>
        <v/>
      </c>
      <c r="BF324" s="392">
        <f>IF(OR(BF322="",BF323=""),"",BF323-BF322)</f>
        <v/>
      </c>
      <c r="BG324" s="392">
        <f>IF(OR(BG322="",BG323=""),"",BG323-BG322)</f>
        <v/>
      </c>
      <c r="BH324" s="392">
        <f>IF(OR(BH322="",BH323=""),"",BH323-BH322)</f>
        <v/>
      </c>
      <c r="BI324" s="392">
        <f>IF(OR(BI322="",BI323=""),"",BI323-BI322)</f>
        <v/>
      </c>
      <c r="BJ324" s="392">
        <f>IF(OR(BJ322="",BJ323=""),"",BJ323-BJ322)</f>
        <v/>
      </c>
      <c r="BK324" s="392">
        <f>IF(OR(BK322="",BK323=""),"",BK323-BK322)</f>
        <v/>
      </c>
      <c r="BL324" s="392">
        <f>IF(OR(BL322="",BL323=""),"",BL323-BL322)</f>
        <v/>
      </c>
      <c r="BM324" s="392">
        <f>IF(OR(BM322="",BM323=""),"",BM323-BM322)</f>
        <v/>
      </c>
      <c r="BN324" s="392">
        <f>IF(OR(BN322="",BN323=""),"",BN323-BN322)</f>
        <v/>
      </c>
      <c r="BO324" s="392">
        <f>IF(OR(BO322="",BO323=""),"",BO323-BO322)</f>
        <v/>
      </c>
      <c r="BP324" s="392">
        <f>IF(OR(BP322="",BP323=""),"",BP323-BP322)</f>
        <v/>
      </c>
      <c r="BQ324" s="392">
        <f>IF(OR(BQ322="",BQ323=""),"",BQ323-BQ322)</f>
        <v/>
      </c>
      <c r="BR324" s="392">
        <f>IF(OR(BR322="",BR323=""),"",BR323-BR322)</f>
        <v/>
      </c>
      <c r="BS324" s="392">
        <f>IF(OR(BS322="",BS323=""),"",BS323-BS322)</f>
        <v/>
      </c>
      <c r="BT324" s="392">
        <f>IF(OR(BT322="",BT323=""),"",BT323-BT322)</f>
        <v/>
      </c>
      <c r="BU324" s="392">
        <f>IF(OR(BU322="",BU323=""),"",BU323-BU322)</f>
        <v/>
      </c>
      <c r="BV324" s="392">
        <f>IF(OR(BV322="",BV323=""),"",BV323-BV322)</f>
        <v/>
      </c>
      <c r="BW324" s="392">
        <f>IF(OR(BW322="",BW323=""),"",BW323-BW322)</f>
        <v/>
      </c>
      <c r="BX324" s="392">
        <f>IF(OR(BX322="",BX323=""),"",BX323-BX322)</f>
        <v/>
      </c>
      <c r="BY324" s="392">
        <f>IF(OR(BY322="",BY323=""),"",BY323-BY322)</f>
        <v/>
      </c>
      <c r="BZ324" s="392">
        <f>IF(OR(BZ322="",BZ323=""),"",BZ323-BZ322)</f>
        <v/>
      </c>
      <c r="CA324" s="392">
        <f>IF(OR(CA322="",CA323=""),"",CA323-CA322)</f>
        <v/>
      </c>
      <c r="CB324" s="392">
        <f>IF(OR(CB322="",CB323=""),"",CB323-CB322)</f>
        <v/>
      </c>
      <c r="CC324" s="392">
        <f>IF(OR(CC322="",CC323=""),"",CC323-CC322)</f>
        <v/>
      </c>
      <c r="CD324" s="392">
        <f>IF(OR(CD322="",CD323=""),"",CD323-CD322)</f>
        <v/>
      </c>
      <c r="CE324" s="392">
        <f>IF(OR(CE322="",CE323=""),"",CE323-CE322)</f>
        <v/>
      </c>
      <c r="CF324" s="392">
        <f>IF(OR(CF322="",CF323=""),"",CF323-CF322)</f>
        <v/>
      </c>
      <c r="CG324" s="392">
        <f>IF(OR(CG322="",CG323=""),"",CG323-CG322)</f>
        <v/>
      </c>
      <c r="CH324" s="392">
        <f>IF(OR(CH322="",CH323=""),"",CH323-CH322)</f>
        <v/>
      </c>
      <c r="CI324" s="392">
        <f>IF(OR(CI322="",CI323=""),"",CI323-CI322)</f>
        <v/>
      </c>
      <c r="CJ324" s="392">
        <f>IF(OR(CJ322="",CJ323=""),"",CJ323-CJ322)</f>
        <v/>
      </c>
      <c r="CK324" s="392">
        <f>IF(OR(CK322="",CK323=""),"",CK323-CK322)</f>
        <v/>
      </c>
      <c r="CL324" s="392">
        <f>IF(OR(CL322="",CL323=""),"",CL323-CL322)</f>
        <v/>
      </c>
      <c r="CM324" s="392">
        <f>IF(OR(CM322="",CM323=""),"",CM323-CM322)</f>
        <v/>
      </c>
      <c r="CN324" s="392">
        <f>IF(OR(CN322="",CN323=""),"",CN323-CN322)</f>
        <v/>
      </c>
      <c r="CO324" s="392">
        <f>IF(OR(CO322="",CO323=""),"",CO323-CO322)</f>
        <v/>
      </c>
      <c r="CP324" s="392">
        <f>IF(OR(CP322="",CP323=""),"",CP323-CP322)</f>
        <v/>
      </c>
      <c r="CQ324" s="392">
        <f>IF(OR(CQ322="",CQ323=""),"",CQ323-CQ322)</f>
        <v/>
      </c>
      <c r="CR324" s="392">
        <f>IF(OR(CR322="",CR323=""),"",CR323-CR322)</f>
        <v/>
      </c>
      <c r="CS324" s="392">
        <f>IF(OR(CS322="",CS323=""),"",CS323-CS322)</f>
        <v/>
      </c>
      <c r="CT324" s="392">
        <f>IF(OR(CT322="",CT323=""),"",CT323-CT322)</f>
        <v/>
      </c>
      <c r="CU324" s="392">
        <f>IF(OR(CU322="",CU323=""),"",CU323-CU322)</f>
        <v/>
      </c>
      <c r="CV324" s="392">
        <f>IF(OR(CV322="",CV323=""),"",CV323-CV322)</f>
        <v/>
      </c>
      <c r="CW324" s="392">
        <f>IF(OR(CW322="",CW323=""),"",CW323-CW322)</f>
        <v/>
      </c>
      <c r="CX324" s="392">
        <f>IF(OR(CX322="",CX323=""),"",CX323-CX322)</f>
        <v/>
      </c>
      <c r="CY324" s="392">
        <f>IF(OR(CY322="",CY323=""),"",CY323-CY322)</f>
        <v/>
      </c>
      <c r="CZ324" s="392">
        <f>IF(OR(CZ322="",CZ323=""),"",CZ323-CZ322)</f>
        <v/>
      </c>
      <c r="DA324" s="392">
        <f>IF(OR(DA322="",DA323=""),"",DA323-DA322)</f>
        <v/>
      </c>
      <c r="DB324" s="392">
        <f>IF(OR(DB322="",DB323=""),"",DB323-DB322)</f>
        <v/>
      </c>
      <c r="DC324" s="392">
        <f>IF(OR(DC322="",DC323=""),"",DC323-DC322)</f>
        <v/>
      </c>
      <c r="DD324" s="392">
        <f>IF(OR(DD322="",DD323=""),"",DD323-DD322)</f>
        <v/>
      </c>
      <c r="DE324" s="392">
        <f>IF(OR(DE322="",DE323=""),"",DE323-DE322)</f>
        <v/>
      </c>
    </row>
    <row r="325" ht="15" customHeight="1" s="410">
      <c r="A325" s="397" t="inlineStr">
        <is>
          <t>Tie check</t>
        </is>
      </c>
      <c r="B325" s="401">
        <f>IF(B324="","",IF(ABS(B324)&lt;1,"OK","CHECK"))</f>
        <v/>
      </c>
      <c r="C325" s="401">
        <f>IF(C324="","",IF(ABS(C324)&lt;1,"OK","CHECK"))</f>
        <v/>
      </c>
      <c r="D325" s="401">
        <f>IF(D324="","",IF(ABS(D324)&lt;1,"OK","CHECK"))</f>
        <v/>
      </c>
      <c r="E325" s="401">
        <f>IF(E324="","",IF(ABS(E324)&lt;1,"OK","CHECK"))</f>
        <v/>
      </c>
      <c r="F325" s="401">
        <f>IF(F324="","",IF(ABS(F324)&lt;1,"OK","CHECK"))</f>
        <v/>
      </c>
      <c r="G325" s="401">
        <f>IF(G324="","",IF(ABS(G324)&lt;1,"OK","CHECK"))</f>
        <v/>
      </c>
      <c r="H325" s="401">
        <f>IF(H324="","",IF(ABS(H324)&lt;1,"OK","CHECK"))</f>
        <v/>
      </c>
      <c r="I325" s="401">
        <f>IF(I324="","",IF(ABS(I324)&lt;1,"OK","CHECK"))</f>
        <v/>
      </c>
      <c r="J325" s="401">
        <f>IF(J324="","",IF(ABS(J324)&lt;1,"OK","CHECK"))</f>
        <v/>
      </c>
      <c r="K325" s="401">
        <f>IF(K324="","",IF(ABS(K324)&lt;1,"OK","CHECK"))</f>
        <v/>
      </c>
      <c r="L325" s="401">
        <f>IF(L324="","",IF(ABS(L324)&lt;1,"OK","CHECK"))</f>
        <v/>
      </c>
      <c r="M325" s="401">
        <f>IF(M324="","",IF(ABS(M324)&lt;1,"OK","CHECK"))</f>
        <v/>
      </c>
      <c r="N325" s="401">
        <f>IF(N324="","",IF(ABS(N324)&lt;1,"OK","CHECK"))</f>
        <v/>
      </c>
      <c r="O325" s="401">
        <f>IF(O324="","",IF(ABS(O324)&lt;1,"OK","CHECK"))</f>
        <v/>
      </c>
      <c r="P325" s="401">
        <f>IF(P324="","",IF(ABS(P324)&lt;1,"OK","CHECK"))</f>
        <v/>
      </c>
      <c r="Q325" s="401">
        <f>IF(Q324="","",IF(ABS(Q324)&lt;1,"OK","CHECK"))</f>
        <v/>
      </c>
      <c r="R325" s="401">
        <f>IF(R324="","",IF(ABS(R324)&lt;1,"OK","CHECK"))</f>
        <v/>
      </c>
      <c r="S325" s="401">
        <f>IF(S324="","",IF(ABS(S324)&lt;1,"OK","CHECK"))</f>
        <v/>
      </c>
      <c r="T325" s="401">
        <f>IF(T324="","",IF(ABS(T324)&lt;1,"OK","CHECK"))</f>
        <v/>
      </c>
      <c r="U325" s="401">
        <f>IF(U324="","",IF(ABS(U324)&lt;1,"OK","CHECK"))</f>
        <v/>
      </c>
      <c r="V325" s="401">
        <f>IF(V324="","",IF(ABS(V324)&lt;1,"OK","CHECK"))</f>
        <v/>
      </c>
      <c r="W325" s="401">
        <f>IF(W324="","",IF(ABS(W324)&lt;1,"OK","CHECK"))</f>
        <v/>
      </c>
      <c r="X325" s="401">
        <f>IF(X324="","",IF(ABS(X324)&lt;1,"OK","CHECK"))</f>
        <v/>
      </c>
      <c r="Y325" s="401">
        <f>IF(Y324="","",IF(ABS(Y324)&lt;1,"OK","CHECK"))</f>
        <v/>
      </c>
      <c r="Z325" s="401">
        <f>IF(Z324="","",IF(ABS(Z324)&lt;1,"OK","CHECK"))</f>
        <v/>
      </c>
      <c r="AA325" s="401">
        <f>IF(AA324="","",IF(ABS(AA324)&lt;1,"OK","CHECK"))</f>
        <v/>
      </c>
      <c r="AB325" s="401">
        <f>IF(AB324="","",IF(ABS(AB324)&lt;1,"OK","CHECK"))</f>
        <v/>
      </c>
      <c r="AC325" s="401">
        <f>IF(AC324="","",IF(ABS(AC324)&lt;1,"OK","CHECK"))</f>
        <v/>
      </c>
      <c r="AD325" s="401">
        <f>IF(AD324="","",IF(ABS(AD324)&lt;1,"OK","CHECK"))</f>
        <v/>
      </c>
      <c r="AE325" s="401">
        <f>IF(AE324="","",IF(ABS(AE324)&lt;1,"OK","CHECK"))</f>
        <v/>
      </c>
      <c r="AF325" s="401">
        <f>IF(AF324="","",IF(ABS(AF324)&lt;1,"OK","CHECK"))</f>
        <v/>
      </c>
      <c r="AG325" s="401">
        <f>IF(AG324="","",IF(ABS(AG324)&lt;1,"OK","CHECK"))</f>
        <v/>
      </c>
      <c r="AH325" s="401">
        <f>IF(AH324="","",IF(ABS(AH324)&lt;1,"OK","CHECK"))</f>
        <v/>
      </c>
      <c r="AI325" s="401">
        <f>IF(AI324="","",IF(ABS(AI324)&lt;1,"OK","CHECK"))</f>
        <v/>
      </c>
      <c r="AJ325" s="401">
        <f>IF(AJ324="","",IF(ABS(AJ324)&lt;1,"OK","CHECK"))</f>
        <v/>
      </c>
      <c r="AK325" s="401">
        <f>IF(AK324="","",IF(ABS(AK324)&lt;1,"OK","CHECK"))</f>
        <v/>
      </c>
      <c r="AL325" s="401">
        <f>IF(AL324="","",IF(ABS(AL324)&lt;1,"OK","CHECK"))</f>
        <v/>
      </c>
      <c r="AM325" s="401">
        <f>IF(AM324="","",IF(ABS(AM324)&lt;1,"OK","CHECK"))</f>
        <v/>
      </c>
      <c r="AN325" s="401">
        <f>IF(AN324="","",IF(ABS(AN324)&lt;1,"OK","CHECK"))</f>
        <v/>
      </c>
      <c r="AO325" s="401">
        <f>IF(AO324="","",IF(ABS(AO324)&lt;1,"OK","CHECK"))</f>
        <v/>
      </c>
      <c r="AP325" s="401">
        <f>IF(AP324="","",IF(ABS(AP324)&lt;1,"OK","CHECK"))</f>
        <v/>
      </c>
      <c r="AQ325" s="401">
        <f>IF(AQ324="","",IF(ABS(AQ324)&lt;1,"OK","CHECK"))</f>
        <v/>
      </c>
      <c r="AR325" s="401">
        <f>IF(AR324="","",IF(ABS(AR324)&lt;1,"OK","CHECK"))</f>
        <v/>
      </c>
      <c r="AS325" s="401">
        <f>IF(AS324="","",IF(ABS(AS324)&lt;1,"OK","CHECK"))</f>
        <v/>
      </c>
      <c r="AT325" s="401">
        <f>IF(AT324="","",IF(ABS(AT324)&lt;1,"OK","CHECK"))</f>
        <v/>
      </c>
      <c r="AU325" s="401">
        <f>IF(AU324="","",IF(ABS(AU324)&lt;1,"OK","CHECK"))</f>
        <v/>
      </c>
      <c r="AV325" s="401">
        <f>IF(AV324="","",IF(ABS(AV324)&lt;1,"OK","CHECK"))</f>
        <v/>
      </c>
      <c r="AW325" s="401">
        <f>IF(AW324="","",IF(ABS(AW324)&lt;1,"OK","CHECK"))</f>
        <v/>
      </c>
      <c r="AX325" s="401">
        <f>IF(AX324="","",IF(ABS(AX324)&lt;1,"OK","CHECK"))</f>
        <v/>
      </c>
      <c r="AY325" s="401">
        <f>IF(AY324="","",IF(ABS(AY324)&lt;1,"OK","CHECK"))</f>
        <v/>
      </c>
      <c r="AZ325" s="401">
        <f>IF(AZ324="","",IF(ABS(AZ324)&lt;1,"OK","CHECK"))</f>
        <v/>
      </c>
      <c r="BA325" s="401">
        <f>IF(BA324="","",IF(ABS(BA324)&lt;1,"OK","CHECK"))</f>
        <v/>
      </c>
      <c r="BB325" s="401">
        <f>IF(BB324="","",IF(ABS(BB324)&lt;1,"OK","CHECK"))</f>
        <v/>
      </c>
      <c r="BC325" s="401">
        <f>IF(BC324="","",IF(ABS(BC324)&lt;1,"OK","CHECK"))</f>
        <v/>
      </c>
      <c r="BD325" s="401">
        <f>IF(BD324="","",IF(ABS(BD324)&lt;1,"OK","CHECK"))</f>
        <v/>
      </c>
      <c r="BE325" s="401">
        <f>IF(BE324="","",IF(ABS(BE324)&lt;1,"OK","CHECK"))</f>
        <v/>
      </c>
      <c r="BF325" s="401">
        <f>IF(BF324="","",IF(ABS(BF324)&lt;1,"OK","CHECK"))</f>
        <v/>
      </c>
      <c r="BG325" s="401">
        <f>IF(BG324="","",IF(ABS(BG324)&lt;1,"OK","CHECK"))</f>
        <v/>
      </c>
      <c r="BH325" s="401">
        <f>IF(BH324="","",IF(ABS(BH324)&lt;1,"OK","CHECK"))</f>
        <v/>
      </c>
      <c r="BI325" s="401">
        <f>IF(BI324="","",IF(ABS(BI324)&lt;1,"OK","CHECK"))</f>
        <v/>
      </c>
      <c r="BJ325" s="401">
        <f>IF(BJ324="","",IF(ABS(BJ324)&lt;1,"OK","CHECK"))</f>
        <v/>
      </c>
      <c r="BK325" s="401">
        <f>IF(BK324="","",IF(ABS(BK324)&lt;1,"OK","CHECK"))</f>
        <v/>
      </c>
      <c r="BL325" s="401">
        <f>IF(BL324="","",IF(ABS(BL324)&lt;1,"OK","CHECK"))</f>
        <v/>
      </c>
      <c r="BM325" s="401">
        <f>IF(BM324="","",IF(ABS(BM324)&lt;1,"OK","CHECK"))</f>
        <v/>
      </c>
      <c r="BN325" s="401">
        <f>IF(BN324="","",IF(ABS(BN324)&lt;1,"OK","CHECK"))</f>
        <v/>
      </c>
      <c r="BO325" s="401">
        <f>IF(BO324="","",IF(ABS(BO324)&lt;1,"OK","CHECK"))</f>
        <v/>
      </c>
      <c r="BP325" s="401">
        <f>IF(BP324="","",IF(ABS(BP324)&lt;1,"OK","CHECK"))</f>
        <v/>
      </c>
      <c r="BQ325" s="401">
        <f>IF(BQ324="","",IF(ABS(BQ324)&lt;1,"OK","CHECK"))</f>
        <v/>
      </c>
      <c r="BR325" s="401">
        <f>IF(BR324="","",IF(ABS(BR324)&lt;1,"OK","CHECK"))</f>
        <v/>
      </c>
      <c r="BS325" s="401">
        <f>IF(BS324="","",IF(ABS(BS324)&lt;1,"OK","CHECK"))</f>
        <v/>
      </c>
      <c r="BT325" s="401">
        <f>IF(BT324="","",IF(ABS(BT324)&lt;1,"OK","CHECK"))</f>
        <v/>
      </c>
      <c r="BU325" s="401">
        <f>IF(BU324="","",IF(ABS(BU324)&lt;1,"OK","CHECK"))</f>
        <v/>
      </c>
      <c r="BV325" s="401">
        <f>IF(BV324="","",IF(ABS(BV324)&lt;1,"OK","CHECK"))</f>
        <v/>
      </c>
      <c r="BW325" s="401">
        <f>IF(BW324="","",IF(ABS(BW324)&lt;1,"OK","CHECK"))</f>
        <v/>
      </c>
      <c r="BX325" s="401">
        <f>IF(BX324="","",IF(ABS(BX324)&lt;1,"OK","CHECK"))</f>
        <v/>
      </c>
      <c r="BY325" s="401">
        <f>IF(BY324="","",IF(ABS(BY324)&lt;1,"OK","CHECK"))</f>
        <v/>
      </c>
      <c r="BZ325" s="401">
        <f>IF(BZ324="","",IF(ABS(BZ324)&lt;1,"OK","CHECK"))</f>
        <v/>
      </c>
      <c r="CA325" s="401">
        <f>IF(CA324="","",IF(ABS(CA324)&lt;1,"OK","CHECK"))</f>
        <v/>
      </c>
      <c r="CB325" s="401">
        <f>IF(CB324="","",IF(ABS(CB324)&lt;1,"OK","CHECK"))</f>
        <v/>
      </c>
      <c r="CC325" s="401">
        <f>IF(CC324="","",IF(ABS(CC324)&lt;1,"OK","CHECK"))</f>
        <v/>
      </c>
      <c r="CD325" s="401">
        <f>IF(CD324="","",IF(ABS(CD324)&lt;1,"OK","CHECK"))</f>
        <v/>
      </c>
      <c r="CE325" s="401">
        <f>IF(CE324="","",IF(ABS(CE324)&lt;1,"OK","CHECK"))</f>
        <v/>
      </c>
      <c r="CF325" s="401">
        <f>IF(CF324="","",IF(ABS(CF324)&lt;1,"OK","CHECK"))</f>
        <v/>
      </c>
      <c r="CG325" s="401">
        <f>IF(CG324="","",IF(ABS(CG324)&lt;1,"OK","CHECK"))</f>
        <v/>
      </c>
      <c r="CH325" s="401">
        <f>IF(CH324="","",IF(ABS(CH324)&lt;1,"OK","CHECK"))</f>
        <v/>
      </c>
      <c r="CI325" s="401">
        <f>IF(CI324="","",IF(ABS(CI324)&lt;1,"OK","CHECK"))</f>
        <v/>
      </c>
      <c r="CJ325" s="401">
        <f>IF(CJ324="","",IF(ABS(CJ324)&lt;1,"OK","CHECK"))</f>
        <v/>
      </c>
      <c r="CK325" s="401">
        <f>IF(CK324="","",IF(ABS(CK324)&lt;1,"OK","CHECK"))</f>
        <v/>
      </c>
      <c r="CL325" s="401">
        <f>IF(CL324="","",IF(ABS(CL324)&lt;1,"OK","CHECK"))</f>
        <v/>
      </c>
      <c r="CM325" s="401">
        <f>IF(CM324="","",IF(ABS(CM324)&lt;1,"OK","CHECK"))</f>
        <v/>
      </c>
      <c r="CN325" s="401">
        <f>IF(CN324="","",IF(ABS(CN324)&lt;1,"OK","CHECK"))</f>
        <v/>
      </c>
      <c r="CO325" s="401">
        <f>IF(CO324="","",IF(ABS(CO324)&lt;1,"OK","CHECK"))</f>
        <v/>
      </c>
      <c r="CP325" s="401">
        <f>IF(CP324="","",IF(ABS(CP324)&lt;1,"OK","CHECK"))</f>
        <v/>
      </c>
      <c r="CQ325" s="401">
        <f>IF(CQ324="","",IF(ABS(CQ324)&lt;1,"OK","CHECK"))</f>
        <v/>
      </c>
      <c r="CR325" s="401">
        <f>IF(CR324="","",IF(ABS(CR324)&lt;1,"OK","CHECK"))</f>
        <v/>
      </c>
      <c r="CS325" s="401">
        <f>IF(CS324="","",IF(ABS(CS324)&lt;1,"OK","CHECK"))</f>
        <v/>
      </c>
      <c r="CT325" s="401">
        <f>IF(CT324="","",IF(ABS(CT324)&lt;1,"OK","CHECK"))</f>
        <v/>
      </c>
      <c r="CU325" s="401">
        <f>IF(CU324="","",IF(ABS(CU324)&lt;1,"OK","CHECK"))</f>
        <v/>
      </c>
      <c r="CV325" s="401">
        <f>IF(CV324="","",IF(ABS(CV324)&lt;1,"OK","CHECK"))</f>
        <v/>
      </c>
      <c r="CW325" s="401">
        <f>IF(CW324="","",IF(ABS(CW324)&lt;1,"OK","CHECK"))</f>
        <v/>
      </c>
      <c r="CX325" s="401">
        <f>IF(CX324="","",IF(ABS(CX324)&lt;1,"OK","CHECK"))</f>
        <v/>
      </c>
      <c r="CY325" s="401">
        <f>IF(CY324="","",IF(ABS(CY324)&lt;1,"OK","CHECK"))</f>
        <v/>
      </c>
      <c r="CZ325" s="401">
        <f>IF(CZ324="","",IF(ABS(CZ324)&lt;1,"OK","CHECK"))</f>
        <v/>
      </c>
      <c r="DA325" s="401">
        <f>IF(DA324="","",IF(ABS(DA324)&lt;1,"OK","CHECK"))</f>
        <v/>
      </c>
      <c r="DB325" s="401">
        <f>IF(DB324="","",IF(ABS(DB324)&lt;1,"OK","CHECK"))</f>
        <v/>
      </c>
      <c r="DC325" s="401">
        <f>IF(DC324="","",IF(ABS(DC324)&lt;1,"OK","CHECK"))</f>
        <v/>
      </c>
      <c r="DD325" s="401">
        <f>IF(DD324="","",IF(ABS(DD324)&lt;1,"OK","CHECK"))</f>
        <v/>
      </c>
      <c r="DE325" s="401">
        <f>IF(DE324="","",IF(ABS(DE324)&lt;1,"OK","CHECK"))</f>
        <v/>
      </c>
    </row>
    <row r="326" ht="15" customHeight="1" s="410">
      <c r="A326" s="397" t="inlineStr">
        <is>
          <t>Prior pack: model ending cash projected for this month-end (hardcode at each close)</t>
        </is>
      </c>
      <c r="B326" s="392" t="n"/>
      <c r="C326" s="392" t="n"/>
      <c r="D326" s="392" t="n"/>
      <c r="E326" s="392" t="n"/>
      <c r="F326" s="392" t="n"/>
      <c r="G326" s="392" t="n"/>
      <c r="H326" s="453" t="n">
        <v>133317</v>
      </c>
      <c r="I326" s="453" t="n">
        <v>-22279</v>
      </c>
      <c r="J326" s="392" t="n"/>
      <c r="K326" s="392" t="n"/>
      <c r="L326" s="392" t="n"/>
      <c r="M326" s="392" t="n"/>
      <c r="N326" s="392" t="n"/>
      <c r="O326" s="392" t="n"/>
      <c r="P326" s="392" t="n"/>
      <c r="Q326" s="392" t="n"/>
      <c r="R326" s="392" t="n"/>
      <c r="S326" s="392" t="n"/>
      <c r="T326" s="392" t="n"/>
      <c r="U326" s="392" t="n"/>
      <c r="V326" s="392" t="n"/>
      <c r="W326" s="392" t="n"/>
      <c r="X326" s="392" t="n"/>
      <c r="Y326" s="392" t="n"/>
      <c r="Z326" s="392" t="n"/>
      <c r="AA326" s="392" t="n"/>
      <c r="AB326" s="392" t="n"/>
      <c r="AC326" s="392" t="n"/>
      <c r="AD326" s="392" t="n"/>
      <c r="AE326" s="392" t="n"/>
      <c r="AF326" s="392" t="n"/>
      <c r="AG326" s="392" t="n"/>
      <c r="AH326" s="392" t="n"/>
      <c r="AI326" s="392" t="n"/>
      <c r="AJ326" s="392" t="n"/>
      <c r="AK326" s="392" t="n"/>
      <c r="AL326" s="392" t="n"/>
      <c r="AM326" s="392" t="n"/>
      <c r="AN326" s="392" t="n"/>
      <c r="AO326" s="392" t="n"/>
      <c r="AP326" s="392" t="n"/>
      <c r="AQ326" s="392" t="n"/>
      <c r="AR326" s="392" t="n"/>
      <c r="AS326" s="392" t="n"/>
      <c r="AT326" s="392" t="n"/>
      <c r="AU326" s="392" t="n"/>
      <c r="AV326" s="392" t="n"/>
      <c r="AW326" s="392" t="n"/>
      <c r="AX326" s="392" t="n"/>
      <c r="AY326" s="392" t="n"/>
      <c r="AZ326" s="392" t="n"/>
      <c r="BA326" s="392" t="n"/>
      <c r="BB326" s="392" t="n"/>
      <c r="BC326" s="392" t="n"/>
      <c r="BD326" s="392" t="n"/>
      <c r="BE326" s="392" t="n"/>
      <c r="BF326" s="392" t="n"/>
      <c r="BG326" s="392" t="n"/>
      <c r="BH326" s="392" t="n"/>
      <c r="BI326" s="392" t="n"/>
      <c r="BJ326" s="392" t="n"/>
      <c r="BK326" s="392" t="n"/>
      <c r="BL326" s="392" t="n"/>
      <c r="BM326" s="392" t="n"/>
      <c r="BN326" s="392" t="n"/>
      <c r="BO326" s="392" t="n"/>
      <c r="BP326" s="392" t="n"/>
      <c r="BQ326" s="392" t="n"/>
      <c r="BR326" s="392" t="n"/>
      <c r="BS326" s="392" t="n"/>
      <c r="BT326" s="392" t="n"/>
      <c r="BU326" s="392" t="n"/>
      <c r="BV326" s="392" t="n"/>
      <c r="BW326" s="392" t="n"/>
      <c r="BX326" s="392" t="n"/>
      <c r="BY326" s="392" t="n"/>
      <c r="BZ326" s="392" t="n"/>
      <c r="CA326" s="392" t="n"/>
      <c r="CB326" s="392" t="n"/>
      <c r="CC326" s="392" t="n"/>
      <c r="CD326" s="392" t="n"/>
      <c r="CE326" s="392" t="n"/>
      <c r="CF326" s="392" t="n"/>
      <c r="CG326" s="392" t="n"/>
      <c r="CH326" s="392" t="n"/>
      <c r="CI326" s="392" t="n"/>
      <c r="CJ326" s="392" t="n"/>
      <c r="CK326" s="392" t="n"/>
      <c r="CL326" s="392" t="n"/>
      <c r="CM326" s="392" t="n"/>
      <c r="CN326" s="392" t="n"/>
      <c r="CO326" s="392" t="n"/>
      <c r="CP326" s="392" t="n"/>
      <c r="CQ326" s="392" t="n"/>
      <c r="CR326" s="392" t="n"/>
      <c r="CS326" s="392" t="n"/>
      <c r="CT326" s="392" t="n"/>
      <c r="CU326" s="392" t="n"/>
      <c r="CV326" s="392" t="n"/>
      <c r="CW326" s="392" t="n"/>
      <c r="CX326" s="392" t="n"/>
      <c r="CY326" s="392" t="n"/>
      <c r="CZ326" s="392" t="n"/>
      <c r="DA326" s="392" t="n"/>
      <c r="DB326" s="392" t="n"/>
      <c r="DC326" s="392" t="n"/>
      <c r="DD326" s="392" t="n"/>
      <c r="DE326" s="392" t="n"/>
    </row>
    <row r="327" ht="15" customHeight="1" s="410">
      <c r="A327" s="397" t="inlineStr">
        <is>
          <t>Forecast variance — prior pack less actual</t>
        </is>
      </c>
      <c r="B327" s="392">
        <f>IF(OR(B322="",B326=""),"",B326-B322)</f>
        <v/>
      </c>
      <c r="C327" s="392">
        <f>IF(OR(C322="",C326=""),"",C326-C322)</f>
        <v/>
      </c>
      <c r="D327" s="392">
        <f>IF(OR(D322="",D326=""),"",D326-D322)</f>
        <v/>
      </c>
      <c r="E327" s="392">
        <f>IF(OR(E322="",E326=""),"",E326-E322)</f>
        <v/>
      </c>
      <c r="F327" s="392">
        <f>IF(OR(F322="",F326=""),"",F326-F322)</f>
        <v/>
      </c>
      <c r="G327" s="392">
        <f>IF(OR(G322="",G326=""),"",G326-G322)</f>
        <v/>
      </c>
      <c r="H327" s="392">
        <f>IF(OR(H322="",H326=""),"",H326-H322)</f>
        <v/>
      </c>
      <c r="I327" s="392">
        <f>IF(OR(I322="",I326=""),"",I326-I322)</f>
        <v/>
      </c>
      <c r="J327" s="392">
        <f>IF(OR(J322="",J326=""),"",J326-J322)</f>
        <v/>
      </c>
      <c r="K327" s="392">
        <f>IF(OR(K322="",K326=""),"",K326-K322)</f>
        <v/>
      </c>
      <c r="L327" s="392">
        <f>IF(OR(L322="",L326=""),"",L326-L322)</f>
        <v/>
      </c>
      <c r="M327" s="392">
        <f>IF(OR(M322="",M326=""),"",M326-M322)</f>
        <v/>
      </c>
      <c r="N327" s="392">
        <f>IF(OR(N322="",N326=""),"",N326-N322)</f>
        <v/>
      </c>
      <c r="O327" s="392">
        <f>IF(OR(O322="",O326=""),"",O326-O322)</f>
        <v/>
      </c>
      <c r="P327" s="392">
        <f>IF(OR(P322="",P326=""),"",P326-P322)</f>
        <v/>
      </c>
      <c r="Q327" s="392">
        <f>IF(OR(Q322="",Q326=""),"",Q326-Q322)</f>
        <v/>
      </c>
      <c r="R327" s="392">
        <f>IF(OR(R322="",R326=""),"",R326-R322)</f>
        <v/>
      </c>
      <c r="S327" s="392">
        <f>IF(OR(S322="",S326=""),"",S326-S322)</f>
        <v/>
      </c>
      <c r="T327" s="392">
        <f>IF(OR(T322="",T326=""),"",T326-T322)</f>
        <v/>
      </c>
      <c r="U327" s="392">
        <f>IF(OR(U322="",U326=""),"",U326-U322)</f>
        <v/>
      </c>
      <c r="V327" s="392">
        <f>IF(OR(V322="",V326=""),"",V326-V322)</f>
        <v/>
      </c>
      <c r="W327" s="392">
        <f>IF(OR(W322="",W326=""),"",W326-W322)</f>
        <v/>
      </c>
      <c r="X327" s="392">
        <f>IF(OR(X322="",X326=""),"",X326-X322)</f>
        <v/>
      </c>
      <c r="Y327" s="392">
        <f>IF(OR(Y322="",Y326=""),"",Y326-Y322)</f>
        <v/>
      </c>
      <c r="Z327" s="392">
        <f>IF(OR(Z322="",Z326=""),"",Z326-Z322)</f>
        <v/>
      </c>
      <c r="AA327" s="392">
        <f>IF(OR(AA322="",AA326=""),"",AA326-AA322)</f>
        <v/>
      </c>
      <c r="AB327" s="392">
        <f>IF(OR(AB322="",AB326=""),"",AB326-AB322)</f>
        <v/>
      </c>
      <c r="AC327" s="392">
        <f>IF(OR(AC322="",AC326=""),"",AC326-AC322)</f>
        <v/>
      </c>
      <c r="AD327" s="392">
        <f>IF(OR(AD322="",AD326=""),"",AD326-AD322)</f>
        <v/>
      </c>
      <c r="AE327" s="392">
        <f>IF(OR(AE322="",AE326=""),"",AE326-AE322)</f>
        <v/>
      </c>
      <c r="AF327" s="392">
        <f>IF(OR(AF322="",AF326=""),"",AF326-AF322)</f>
        <v/>
      </c>
      <c r="AG327" s="392">
        <f>IF(OR(AG322="",AG326=""),"",AG326-AG322)</f>
        <v/>
      </c>
      <c r="AH327" s="392">
        <f>IF(OR(AH322="",AH326=""),"",AH326-AH322)</f>
        <v/>
      </c>
      <c r="AI327" s="392">
        <f>IF(OR(AI322="",AI326=""),"",AI326-AI322)</f>
        <v/>
      </c>
      <c r="AJ327" s="392">
        <f>IF(OR(AJ322="",AJ326=""),"",AJ326-AJ322)</f>
        <v/>
      </c>
      <c r="AK327" s="392">
        <f>IF(OR(AK322="",AK326=""),"",AK326-AK322)</f>
        <v/>
      </c>
      <c r="AL327" s="392">
        <f>IF(OR(AL322="",AL326=""),"",AL326-AL322)</f>
        <v/>
      </c>
      <c r="AM327" s="392">
        <f>IF(OR(AM322="",AM326=""),"",AM326-AM322)</f>
        <v/>
      </c>
      <c r="AN327" s="392">
        <f>IF(OR(AN322="",AN326=""),"",AN326-AN322)</f>
        <v/>
      </c>
      <c r="AO327" s="392">
        <f>IF(OR(AO322="",AO326=""),"",AO326-AO322)</f>
        <v/>
      </c>
      <c r="AP327" s="392">
        <f>IF(OR(AP322="",AP326=""),"",AP326-AP322)</f>
        <v/>
      </c>
      <c r="AQ327" s="392">
        <f>IF(OR(AQ322="",AQ326=""),"",AQ326-AQ322)</f>
        <v/>
      </c>
      <c r="AR327" s="392">
        <f>IF(OR(AR322="",AR326=""),"",AR326-AR322)</f>
        <v/>
      </c>
      <c r="AS327" s="392">
        <f>IF(OR(AS322="",AS326=""),"",AS326-AS322)</f>
        <v/>
      </c>
      <c r="AT327" s="392">
        <f>IF(OR(AT322="",AT326=""),"",AT326-AT322)</f>
        <v/>
      </c>
      <c r="AU327" s="392">
        <f>IF(OR(AU322="",AU326=""),"",AU326-AU322)</f>
        <v/>
      </c>
      <c r="AV327" s="392">
        <f>IF(OR(AV322="",AV326=""),"",AV326-AV322)</f>
        <v/>
      </c>
      <c r="AW327" s="392">
        <f>IF(OR(AW322="",AW326=""),"",AW326-AW322)</f>
        <v/>
      </c>
      <c r="AX327" s="392">
        <f>IF(OR(AX322="",AX326=""),"",AX326-AX322)</f>
        <v/>
      </c>
      <c r="AY327" s="392">
        <f>IF(OR(AY322="",AY326=""),"",AY326-AY322)</f>
        <v/>
      </c>
      <c r="AZ327" s="392">
        <f>IF(OR(AZ322="",AZ326=""),"",AZ326-AZ322)</f>
        <v/>
      </c>
      <c r="BA327" s="392">
        <f>IF(OR(BA322="",BA326=""),"",BA326-BA322)</f>
        <v/>
      </c>
      <c r="BB327" s="392">
        <f>IF(OR(BB322="",BB326=""),"",BB326-BB322)</f>
        <v/>
      </c>
      <c r="BC327" s="392">
        <f>IF(OR(BC322="",BC326=""),"",BC326-BC322)</f>
        <v/>
      </c>
      <c r="BD327" s="392">
        <f>IF(OR(BD322="",BD326=""),"",BD326-BD322)</f>
        <v/>
      </c>
      <c r="BE327" s="392">
        <f>IF(OR(BE322="",BE326=""),"",BE326-BE322)</f>
        <v/>
      </c>
      <c r="BF327" s="392">
        <f>IF(OR(BF322="",BF326=""),"",BF326-BF322)</f>
        <v/>
      </c>
      <c r="BG327" s="392">
        <f>IF(OR(BG322="",BG326=""),"",BG326-BG322)</f>
        <v/>
      </c>
      <c r="BH327" s="392">
        <f>IF(OR(BH322="",BH326=""),"",BH326-BH322)</f>
        <v/>
      </c>
      <c r="BI327" s="392">
        <f>IF(OR(BI322="",BI326=""),"",BI326-BI322)</f>
        <v/>
      </c>
      <c r="BJ327" s="392">
        <f>IF(OR(BJ322="",BJ326=""),"",BJ326-BJ322)</f>
        <v/>
      </c>
      <c r="BK327" s="392">
        <f>IF(OR(BK322="",BK326=""),"",BK326-BK322)</f>
        <v/>
      </c>
      <c r="BL327" s="392">
        <f>IF(OR(BL322="",BL326=""),"",BL326-BL322)</f>
        <v/>
      </c>
      <c r="BM327" s="392">
        <f>IF(OR(BM322="",BM326=""),"",BM326-BM322)</f>
        <v/>
      </c>
      <c r="BN327" s="392">
        <f>IF(OR(BN322="",BN326=""),"",BN326-BN322)</f>
        <v/>
      </c>
      <c r="BO327" s="392">
        <f>IF(OR(BO322="",BO326=""),"",BO326-BO322)</f>
        <v/>
      </c>
      <c r="BP327" s="392">
        <f>IF(OR(BP322="",BP326=""),"",BP326-BP322)</f>
        <v/>
      </c>
      <c r="BQ327" s="392">
        <f>IF(OR(BQ322="",BQ326=""),"",BQ326-BQ322)</f>
        <v/>
      </c>
      <c r="BR327" s="392">
        <f>IF(OR(BR322="",BR326=""),"",BR326-BR322)</f>
        <v/>
      </c>
      <c r="BS327" s="392">
        <f>IF(OR(BS322="",BS326=""),"",BS326-BS322)</f>
        <v/>
      </c>
      <c r="BT327" s="392">
        <f>IF(OR(BT322="",BT326=""),"",BT326-BT322)</f>
        <v/>
      </c>
      <c r="BU327" s="392">
        <f>IF(OR(BU322="",BU326=""),"",BU326-BU322)</f>
        <v/>
      </c>
      <c r="BV327" s="392">
        <f>IF(OR(BV322="",BV326=""),"",BV326-BV322)</f>
        <v/>
      </c>
      <c r="BW327" s="392">
        <f>IF(OR(BW322="",BW326=""),"",BW326-BW322)</f>
        <v/>
      </c>
      <c r="BX327" s="392">
        <f>IF(OR(BX322="",BX326=""),"",BX326-BX322)</f>
        <v/>
      </c>
      <c r="BY327" s="392">
        <f>IF(OR(BY322="",BY326=""),"",BY326-BY322)</f>
        <v/>
      </c>
      <c r="BZ327" s="392">
        <f>IF(OR(BZ322="",BZ326=""),"",BZ326-BZ322)</f>
        <v/>
      </c>
      <c r="CA327" s="392">
        <f>IF(OR(CA322="",CA326=""),"",CA326-CA322)</f>
        <v/>
      </c>
      <c r="CB327" s="392">
        <f>IF(OR(CB322="",CB326=""),"",CB326-CB322)</f>
        <v/>
      </c>
      <c r="CC327" s="392">
        <f>IF(OR(CC322="",CC326=""),"",CC326-CC322)</f>
        <v/>
      </c>
      <c r="CD327" s="392">
        <f>IF(OR(CD322="",CD326=""),"",CD326-CD322)</f>
        <v/>
      </c>
      <c r="CE327" s="392">
        <f>IF(OR(CE322="",CE326=""),"",CE326-CE322)</f>
        <v/>
      </c>
      <c r="CF327" s="392">
        <f>IF(OR(CF322="",CF326=""),"",CF326-CF322)</f>
        <v/>
      </c>
      <c r="CG327" s="392">
        <f>IF(OR(CG322="",CG326=""),"",CG326-CG322)</f>
        <v/>
      </c>
      <c r="CH327" s="392">
        <f>IF(OR(CH322="",CH326=""),"",CH326-CH322)</f>
        <v/>
      </c>
      <c r="CI327" s="392">
        <f>IF(OR(CI322="",CI326=""),"",CI326-CI322)</f>
        <v/>
      </c>
      <c r="CJ327" s="392">
        <f>IF(OR(CJ322="",CJ326=""),"",CJ326-CJ322)</f>
        <v/>
      </c>
      <c r="CK327" s="392">
        <f>IF(OR(CK322="",CK326=""),"",CK326-CK322)</f>
        <v/>
      </c>
      <c r="CL327" s="392">
        <f>IF(OR(CL322="",CL326=""),"",CL326-CL322)</f>
        <v/>
      </c>
      <c r="CM327" s="392">
        <f>IF(OR(CM322="",CM326=""),"",CM326-CM322)</f>
        <v/>
      </c>
      <c r="CN327" s="392">
        <f>IF(OR(CN322="",CN326=""),"",CN326-CN322)</f>
        <v/>
      </c>
      <c r="CO327" s="392">
        <f>IF(OR(CO322="",CO326=""),"",CO326-CO322)</f>
        <v/>
      </c>
      <c r="CP327" s="392">
        <f>IF(OR(CP322="",CP326=""),"",CP326-CP322)</f>
        <v/>
      </c>
      <c r="CQ327" s="392">
        <f>IF(OR(CQ322="",CQ326=""),"",CQ326-CQ322)</f>
        <v/>
      </c>
      <c r="CR327" s="392">
        <f>IF(OR(CR322="",CR326=""),"",CR326-CR322)</f>
        <v/>
      </c>
      <c r="CS327" s="392">
        <f>IF(OR(CS322="",CS326=""),"",CS326-CS322)</f>
        <v/>
      </c>
      <c r="CT327" s="392">
        <f>IF(OR(CT322="",CT326=""),"",CT326-CT322)</f>
        <v/>
      </c>
      <c r="CU327" s="392">
        <f>IF(OR(CU322="",CU326=""),"",CU326-CU322)</f>
        <v/>
      </c>
      <c r="CV327" s="392">
        <f>IF(OR(CV322="",CV326=""),"",CV326-CV322)</f>
        <v/>
      </c>
      <c r="CW327" s="392">
        <f>IF(OR(CW322="",CW326=""),"",CW326-CW322)</f>
        <v/>
      </c>
      <c r="CX327" s="392">
        <f>IF(OR(CX322="",CX326=""),"",CX326-CX322)</f>
        <v/>
      </c>
      <c r="CY327" s="392">
        <f>IF(OR(CY322="",CY326=""),"",CY326-CY322)</f>
        <v/>
      </c>
      <c r="CZ327" s="392">
        <f>IF(OR(CZ322="",CZ326=""),"",CZ326-CZ322)</f>
        <v/>
      </c>
      <c r="DA327" s="392">
        <f>IF(OR(DA322="",DA326=""),"",DA326-DA322)</f>
        <v/>
      </c>
      <c r="DB327" s="392">
        <f>IF(OR(DB322="",DB326=""),"",DB326-DB322)</f>
        <v/>
      </c>
      <c r="DC327" s="392">
        <f>IF(OR(DC322="",DC326=""),"",DC326-DC322)</f>
        <v/>
      </c>
      <c r="DD327" s="392">
        <f>IF(OR(DD322="",DD326=""),"",DD326-DD322)</f>
        <v/>
      </c>
      <c r="DE327" s="392">
        <f>IF(OR(DE322="",DE326=""),"",DE326-DE322)</f>
        <v/>
      </c>
    </row>
    <row r="329" ht="15" customHeight="1" s="410">
      <c r="A329" s="402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5" customHeight="1" s="410">
      <c r="A330" s="397" t="inlineStr">
        <is>
          <t>Actual per B/S</t>
        </is>
      </c>
      <c r="B330" s="392">
        <f>IF(B311="","",B311)</f>
        <v/>
      </c>
      <c r="C330" s="392">
        <f>IF(C311="","",C311)</f>
        <v/>
      </c>
      <c r="D330" s="392">
        <f>IF(D311="","",D311)</f>
        <v/>
      </c>
      <c r="E330" s="392">
        <f>IF(E311="","",E311)</f>
        <v/>
      </c>
      <c r="F330" s="392">
        <f>IF(F311="","",F311)</f>
        <v/>
      </c>
      <c r="G330" s="392">
        <f>IF(G311="","",G311)</f>
        <v/>
      </c>
      <c r="H330" s="392">
        <f>IF(H311="","",H311)</f>
        <v/>
      </c>
      <c r="I330" s="392">
        <f>IF(I311="","",I311)</f>
        <v/>
      </c>
      <c r="J330" s="392">
        <f>IF(J311="","",J311)</f>
        <v/>
      </c>
      <c r="K330" s="392">
        <f>IF(K311="","",K311)</f>
        <v/>
      </c>
      <c r="L330" s="392">
        <f>IF(L311="","",L311)</f>
        <v/>
      </c>
      <c r="M330" s="392">
        <f>IF(M311="","",M311)</f>
        <v/>
      </c>
      <c r="N330" s="392">
        <f>IF(N311="","",N311)</f>
        <v/>
      </c>
      <c r="O330" s="392">
        <f>IF(O311="","",O311)</f>
        <v/>
      </c>
      <c r="P330" s="392">
        <f>IF(P311="","",P311)</f>
        <v/>
      </c>
      <c r="Q330" s="392">
        <f>IF(Q311="","",Q311)</f>
        <v/>
      </c>
      <c r="R330" s="392">
        <f>IF(R311="","",R311)</f>
        <v/>
      </c>
      <c r="S330" s="392">
        <f>IF(S311="","",S311)</f>
        <v/>
      </c>
      <c r="T330" s="392">
        <f>IF(T311="","",T311)</f>
        <v/>
      </c>
      <c r="U330" s="392">
        <f>IF(U311="","",U311)</f>
        <v/>
      </c>
      <c r="V330" s="392">
        <f>IF(V311="","",V311)</f>
        <v/>
      </c>
      <c r="W330" s="392">
        <f>IF(W311="","",W311)</f>
        <v/>
      </c>
      <c r="X330" s="392">
        <f>IF(X311="","",X311)</f>
        <v/>
      </c>
      <c r="Y330" s="392">
        <f>IF(Y311="","",Y311)</f>
        <v/>
      </c>
      <c r="Z330" s="392">
        <f>IF(Z311="","",Z311)</f>
        <v/>
      </c>
      <c r="AA330" s="392">
        <f>IF(AA311="","",AA311)</f>
        <v/>
      </c>
      <c r="AB330" s="392">
        <f>IF(AB311="","",AB311)</f>
        <v/>
      </c>
      <c r="AC330" s="392">
        <f>IF(AC311="","",AC311)</f>
        <v/>
      </c>
      <c r="AD330" s="392">
        <f>IF(AD311="","",AD311)</f>
        <v/>
      </c>
      <c r="AE330" s="392">
        <f>IF(AE311="","",AE311)</f>
        <v/>
      </c>
      <c r="AF330" s="392">
        <f>IF(AF311="","",AF311)</f>
        <v/>
      </c>
      <c r="AG330" s="392">
        <f>IF(AG311="","",AG311)</f>
        <v/>
      </c>
      <c r="AH330" s="392">
        <f>IF(AH311="","",AH311)</f>
        <v/>
      </c>
      <c r="AI330" s="392">
        <f>IF(AI311="","",AI311)</f>
        <v/>
      </c>
      <c r="AJ330" s="392">
        <f>IF(AJ311="","",AJ311)</f>
        <v/>
      </c>
      <c r="AK330" s="392">
        <f>IF(AK311="","",AK311)</f>
        <v/>
      </c>
      <c r="AL330" s="392">
        <f>IF(AL311="","",AL311)</f>
        <v/>
      </c>
      <c r="AM330" s="392">
        <f>IF(AM311="","",AM311)</f>
        <v/>
      </c>
      <c r="AN330" s="392">
        <f>IF(AN311="","",AN311)</f>
        <v/>
      </c>
      <c r="AO330" s="392">
        <f>IF(AO311="","",AO311)</f>
        <v/>
      </c>
      <c r="AP330" s="392">
        <f>IF(AP311="","",AP311)</f>
        <v/>
      </c>
      <c r="AQ330" s="392">
        <f>IF(AQ311="","",AQ311)</f>
        <v/>
      </c>
      <c r="AR330" s="392">
        <f>IF(AR311="","",AR311)</f>
        <v/>
      </c>
      <c r="AS330" s="392">
        <f>IF(AS311="","",AS311)</f>
        <v/>
      </c>
      <c r="AT330" s="392">
        <f>IF(AT311="","",AT311)</f>
        <v/>
      </c>
      <c r="AU330" s="392">
        <f>IF(AU311="","",AU311)</f>
        <v/>
      </c>
      <c r="AV330" s="392">
        <f>IF(AV311="","",AV311)</f>
        <v/>
      </c>
      <c r="AW330" s="392">
        <f>IF(AW311="","",AW311)</f>
        <v/>
      </c>
      <c r="AX330" s="392">
        <f>IF(AX311="","",AX311)</f>
        <v/>
      </c>
      <c r="AY330" s="392">
        <f>IF(AY311="","",AY311)</f>
        <v/>
      </c>
      <c r="AZ330" s="392">
        <f>IF(AZ311="","",AZ311)</f>
        <v/>
      </c>
      <c r="BA330" s="392">
        <f>IF(BA311="","",BA311)</f>
        <v/>
      </c>
      <c r="BB330" s="392">
        <f>IF(BB311="","",BB311)</f>
        <v/>
      </c>
      <c r="BC330" s="392">
        <f>IF(BC311="","",BC311)</f>
        <v/>
      </c>
      <c r="BD330" s="392">
        <f>IF(BD311="","",BD311)</f>
        <v/>
      </c>
      <c r="BE330" s="392">
        <f>IF(BE311="","",BE311)</f>
        <v/>
      </c>
      <c r="BF330" s="392">
        <f>IF(BF311="","",BF311)</f>
        <v/>
      </c>
      <c r="BG330" s="392">
        <f>IF(BG311="","",BG311)</f>
        <v/>
      </c>
      <c r="BH330" s="392">
        <f>IF(BH311="","",BH311)</f>
        <v/>
      </c>
      <c r="BI330" s="392">
        <f>IF(BI311="","",BI311)</f>
        <v/>
      </c>
      <c r="BJ330" s="392">
        <f>IF(BJ311="","",BJ311)</f>
        <v/>
      </c>
      <c r="BK330" s="392">
        <f>IF(BK311="","",BK311)</f>
        <v/>
      </c>
      <c r="BL330" s="392">
        <f>IF(BL311="","",BL311)</f>
        <v/>
      </c>
      <c r="BM330" s="392">
        <f>IF(BM311="","",BM311)</f>
        <v/>
      </c>
      <c r="BN330" s="392">
        <f>IF(BN311="","",BN311)</f>
        <v/>
      </c>
      <c r="BO330" s="392">
        <f>IF(BO311="","",BO311)</f>
        <v/>
      </c>
      <c r="BP330" s="392">
        <f>IF(BP311="","",BP311)</f>
        <v/>
      </c>
      <c r="BQ330" s="392">
        <f>IF(BQ311="","",BQ311)</f>
        <v/>
      </c>
      <c r="BR330" s="392">
        <f>IF(BR311="","",BR311)</f>
        <v/>
      </c>
      <c r="BS330" s="392">
        <f>IF(BS311="","",BS311)</f>
        <v/>
      </c>
      <c r="BT330" s="392">
        <f>IF(BT311="","",BT311)</f>
        <v/>
      </c>
      <c r="BU330" s="392">
        <f>IF(BU311="","",BU311)</f>
        <v/>
      </c>
      <c r="BV330" s="392">
        <f>IF(BV311="","",BV311)</f>
        <v/>
      </c>
      <c r="BW330" s="392">
        <f>IF(BW311="","",BW311)</f>
        <v/>
      </c>
      <c r="BX330" s="392">
        <f>IF(BX311="","",BX311)</f>
        <v/>
      </c>
      <c r="BY330" s="392">
        <f>IF(BY311="","",BY311)</f>
        <v/>
      </c>
      <c r="BZ330" s="392">
        <f>IF(BZ311="","",BZ311)</f>
        <v/>
      </c>
      <c r="CA330" s="392">
        <f>IF(CA311="","",CA311)</f>
        <v/>
      </c>
      <c r="CB330" s="392">
        <f>IF(CB311="","",CB311)</f>
        <v/>
      </c>
      <c r="CC330" s="392">
        <f>IF(CC311="","",CC311)</f>
        <v/>
      </c>
      <c r="CD330" s="392">
        <f>IF(CD311="","",CD311)</f>
        <v/>
      </c>
      <c r="CE330" s="392">
        <f>IF(CE311="","",CE311)</f>
        <v/>
      </c>
      <c r="CF330" s="392">
        <f>IF(CF311="","",CF311)</f>
        <v/>
      </c>
      <c r="CG330" s="392">
        <f>IF(CG311="","",CG311)</f>
        <v/>
      </c>
      <c r="CH330" s="392">
        <f>IF(CH311="","",CH311)</f>
        <v/>
      </c>
      <c r="CI330" s="392">
        <f>IF(CI311="","",CI311)</f>
        <v/>
      </c>
      <c r="CJ330" s="392">
        <f>IF(CJ311="","",CJ311)</f>
        <v/>
      </c>
      <c r="CK330" s="392">
        <f>IF(CK311="","",CK311)</f>
        <v/>
      </c>
      <c r="CL330" s="392">
        <f>IF(CL311="","",CL311)</f>
        <v/>
      </c>
      <c r="CM330" s="392">
        <f>IF(CM311="","",CM311)</f>
        <v/>
      </c>
      <c r="CN330" s="392">
        <f>IF(CN311="","",CN311)</f>
        <v/>
      </c>
      <c r="CO330" s="392">
        <f>IF(CO311="","",CO311)</f>
        <v/>
      </c>
      <c r="CP330" s="392">
        <f>IF(CP311="","",CP311)</f>
        <v/>
      </c>
      <c r="CQ330" s="392">
        <f>IF(CQ311="","",CQ311)</f>
        <v/>
      </c>
      <c r="CR330" s="392">
        <f>IF(CR311="","",CR311)</f>
        <v/>
      </c>
      <c r="CS330" s="392">
        <f>IF(CS311="","",CS311)</f>
        <v/>
      </c>
      <c r="CT330" s="392">
        <f>IF(CT311="","",CT311)</f>
        <v/>
      </c>
      <c r="CU330" s="392">
        <f>IF(CU311="","",CU311)</f>
        <v/>
      </c>
      <c r="CV330" s="392">
        <f>IF(CV311="","",CV311)</f>
        <v/>
      </c>
      <c r="CW330" s="392">
        <f>IF(CW311="","",CW311)</f>
        <v/>
      </c>
      <c r="CX330" s="392">
        <f>IF(CX311="","",CX311)</f>
        <v/>
      </c>
      <c r="CY330" s="392">
        <f>IF(CY311="","",CY311)</f>
        <v/>
      </c>
      <c r="CZ330" s="392">
        <f>IF(CZ311="","",CZ311)</f>
        <v/>
      </c>
      <c r="DA330" s="392">
        <f>IF(DA311="","",DA311)</f>
        <v/>
      </c>
      <c r="DB330" s="392">
        <f>IF(DB311="","",DB311)</f>
        <v/>
      </c>
      <c r="DC330" s="392">
        <f>IF(DC311="","",DC311)</f>
        <v/>
      </c>
      <c r="DD330" s="392">
        <f>IF(DD311="","",DD311)</f>
        <v/>
      </c>
      <c r="DE330" s="392">
        <f>IF(DE311="","",DE311)</f>
        <v/>
      </c>
    </row>
    <row r="331" ht="15" customHeight="1" s="410">
      <c r="A331" s="397" t="inlineStr">
        <is>
          <t>Model (live): projected ending cash; in the last closed month, the next month's opening balance</t>
        </is>
      </c>
      <c r="B331" s="392">
        <f>IF(B$4="Actuals",IF(C$4="Actuals","",C284),B286)</f>
        <v/>
      </c>
      <c r="C331" s="392">
        <f>IF(C$4="Actuals",IF(D$4="Actuals","",D284),C286)</f>
        <v/>
      </c>
      <c r="D331" s="392">
        <f>IF(D$4="Actuals",IF(E$4="Actuals","",E284),D286)</f>
        <v/>
      </c>
      <c r="E331" s="392">
        <f>IF(E$4="Actuals",IF(F$4="Actuals","",F284),E286)</f>
        <v/>
      </c>
      <c r="F331" s="392">
        <f>IF(F$4="Actuals",IF(G$4="Actuals","",G284),F286)</f>
        <v/>
      </c>
      <c r="G331" s="392">
        <f>IF(G$4="Actuals",IF(H$4="Actuals","",H284),G286)</f>
        <v/>
      </c>
      <c r="H331" s="392">
        <f>IF(H$4="Actuals",IF(I$4="Actuals","",I284),H286)</f>
        <v/>
      </c>
      <c r="I331" s="392">
        <f>IF(I$4="Actuals",IF(J$4="Actuals","",J284),I286)</f>
        <v/>
      </c>
      <c r="J331" s="392">
        <f>IF(J$4="Actuals",IF(K$4="Actuals","",K284),J286)</f>
        <v/>
      </c>
      <c r="K331" s="392">
        <f>IF(K$4="Actuals",IF(L$4="Actuals","",L284),K286)</f>
        <v/>
      </c>
      <c r="L331" s="392">
        <f>IF(L$4="Actuals",IF(M$4="Actuals","",M284),L286)</f>
        <v/>
      </c>
      <c r="M331" s="392">
        <f>IF(M$4="Actuals",IF(N$4="Actuals","",N284),M286)</f>
        <v/>
      </c>
      <c r="N331" s="392">
        <f>IF(N$4="Actuals",IF(O$4="Actuals","",O284),N286)</f>
        <v/>
      </c>
      <c r="O331" s="392">
        <f>IF(O$4="Actuals",IF(P$4="Actuals","",P284),O286)</f>
        <v/>
      </c>
      <c r="P331" s="392">
        <f>IF(P$4="Actuals",IF(Q$4="Actuals","",Q284),P286)</f>
        <v/>
      </c>
      <c r="Q331" s="392">
        <f>IF(Q$4="Actuals",IF(R$4="Actuals","",R284),Q286)</f>
        <v/>
      </c>
      <c r="R331" s="392">
        <f>IF(R$4="Actuals",IF(S$4="Actuals","",S284),R286)</f>
        <v/>
      </c>
      <c r="S331" s="392">
        <f>IF(S$4="Actuals",IF(T$4="Actuals","",T284),S286)</f>
        <v/>
      </c>
      <c r="T331" s="392">
        <f>IF(T$4="Actuals",IF(U$4="Actuals","",U284),T286)</f>
        <v/>
      </c>
      <c r="U331" s="392">
        <f>IF(U$4="Actuals",IF(V$4="Actuals","",V284),U286)</f>
        <v/>
      </c>
      <c r="V331" s="392">
        <f>IF(V$4="Actuals",IF(W$4="Actuals","",W284),V286)</f>
        <v/>
      </c>
      <c r="W331" s="392">
        <f>IF(W$4="Actuals",IF(X$4="Actuals","",X284),W286)</f>
        <v/>
      </c>
      <c r="X331" s="392">
        <f>IF(X$4="Actuals",IF(Y$4="Actuals","",Y284),X286)</f>
        <v/>
      </c>
      <c r="Y331" s="392">
        <f>IF(Y$4="Actuals",IF(Z$4="Actuals","",Z284),Y286)</f>
        <v/>
      </c>
      <c r="Z331" s="392">
        <f>IF(Z$4="Actuals",IF(AA$4="Actuals","",AA284),Z286)</f>
        <v/>
      </c>
      <c r="AA331" s="392">
        <f>IF(AA$4="Actuals",IF(AB$4="Actuals","",AB284),AA286)</f>
        <v/>
      </c>
      <c r="AB331" s="392">
        <f>IF(AB$4="Actuals",IF(AC$4="Actuals","",AC284),AB286)</f>
        <v/>
      </c>
      <c r="AC331" s="392">
        <f>IF(AC$4="Actuals",IF(AD$4="Actuals","",AD284),AC286)</f>
        <v/>
      </c>
      <c r="AD331" s="392">
        <f>IF(AD$4="Actuals",IF(AE$4="Actuals","",AE284),AD286)</f>
        <v/>
      </c>
      <c r="AE331" s="392">
        <f>IF(AE$4="Actuals",IF(AF$4="Actuals","",AF284),AE286)</f>
        <v/>
      </c>
      <c r="AF331" s="392">
        <f>IF(AF$4="Actuals",IF(AG$4="Actuals","",AG284),AF286)</f>
        <v/>
      </c>
      <c r="AG331" s="392">
        <f>IF(AG$4="Actuals",IF(AH$4="Actuals","",AH284),AG286)</f>
        <v/>
      </c>
      <c r="AH331" s="392">
        <f>IF(AH$4="Actuals",IF(AI$4="Actuals","",AI284),AH286)</f>
        <v/>
      </c>
      <c r="AI331" s="392">
        <f>IF(AI$4="Actuals",IF(AJ$4="Actuals","",AJ284),AI286)</f>
        <v/>
      </c>
      <c r="AJ331" s="392">
        <f>IF(AJ$4="Actuals",IF(AK$4="Actuals","",AK284),AJ286)</f>
        <v/>
      </c>
      <c r="AK331" s="392">
        <f>IF(AK$4="Actuals",IF(AL$4="Actuals","",AL284),AK286)</f>
        <v/>
      </c>
      <c r="AL331" s="392">
        <f>IF(AL$4="Actuals",IF(AM$4="Actuals","",AM284),AL286)</f>
        <v/>
      </c>
      <c r="AM331" s="392">
        <f>IF(AM$4="Actuals",IF(AN$4="Actuals","",AN284),AM286)</f>
        <v/>
      </c>
      <c r="AN331" s="392">
        <f>IF(AN$4="Actuals",IF(AO$4="Actuals","",AO284),AN286)</f>
        <v/>
      </c>
      <c r="AO331" s="392">
        <f>IF(AO$4="Actuals",IF(AP$4="Actuals","",AP284),AO286)</f>
        <v/>
      </c>
      <c r="AP331" s="392">
        <f>IF(AP$4="Actuals",IF(AQ$4="Actuals","",AQ284),AP286)</f>
        <v/>
      </c>
      <c r="AQ331" s="392">
        <f>IF(AQ$4="Actuals",IF(AR$4="Actuals","",AR284),AQ286)</f>
        <v/>
      </c>
      <c r="AR331" s="392">
        <f>IF(AR$4="Actuals",IF(AS$4="Actuals","",AS284),AR286)</f>
        <v/>
      </c>
      <c r="AS331" s="392">
        <f>IF(AS$4="Actuals",IF(AT$4="Actuals","",AT284),AS286)</f>
        <v/>
      </c>
      <c r="AT331" s="392">
        <f>IF(AT$4="Actuals",IF(AU$4="Actuals","",AU284),AT286)</f>
        <v/>
      </c>
      <c r="AU331" s="392">
        <f>IF(AU$4="Actuals",IF(AV$4="Actuals","",AV284),AU286)</f>
        <v/>
      </c>
      <c r="AV331" s="392">
        <f>IF(AV$4="Actuals",IF(AW$4="Actuals","",AW284),AV286)</f>
        <v/>
      </c>
      <c r="AW331" s="392">
        <f>IF(AW$4="Actuals",IF(AX$4="Actuals","",AX284),AW286)</f>
        <v/>
      </c>
      <c r="AX331" s="392">
        <f>IF(AX$4="Actuals",IF(AY$4="Actuals","",AY284),AX286)</f>
        <v/>
      </c>
      <c r="AY331" s="392">
        <f>IF(AY$4="Actuals",IF(AZ$4="Actuals","",AZ284),AY286)</f>
        <v/>
      </c>
      <c r="AZ331" s="392">
        <f>IF(AZ$4="Actuals",IF(BA$4="Actuals","",BA284),AZ286)</f>
        <v/>
      </c>
      <c r="BA331" s="392">
        <f>IF(BA$4="Actuals",IF(BB$4="Actuals","",BB284),BA286)</f>
        <v/>
      </c>
      <c r="BB331" s="392">
        <f>IF(BB$4="Actuals",IF(BC$4="Actuals","",BC284),BB286)</f>
        <v/>
      </c>
      <c r="BC331" s="392">
        <f>IF(BC$4="Actuals",IF(BD$4="Actuals","",BD284),BC286)</f>
        <v/>
      </c>
      <c r="BD331" s="392">
        <f>IF(BD$4="Actuals",IF(BE$4="Actuals","",BE284),BD286)</f>
        <v/>
      </c>
      <c r="BE331" s="392">
        <f>IF(BE$4="Actuals",IF(BF$4="Actuals","",BF284),BE286)</f>
        <v/>
      </c>
      <c r="BF331" s="392">
        <f>IF(BF$4="Actuals",IF(BG$4="Actuals","",BG284),BF286)</f>
        <v/>
      </c>
      <c r="BG331" s="392">
        <f>IF(BG$4="Actuals",IF(BH$4="Actuals","",BH284),BG286)</f>
        <v/>
      </c>
      <c r="BH331" s="392">
        <f>IF(BH$4="Actuals",IF(BI$4="Actuals","",BI284),BH286)</f>
        <v/>
      </c>
      <c r="BI331" s="392">
        <f>IF(BI$4="Actuals",IF(BJ$4="Actuals","",BJ284),BI286)</f>
        <v/>
      </c>
      <c r="BJ331" s="392">
        <f>IF(BJ$4="Actuals",IF(BK$4="Actuals","",BK284),BJ286)</f>
        <v/>
      </c>
      <c r="BK331" s="392">
        <f>IF(BK$4="Actuals",IF(BL$4="Actuals","",BL284),BK286)</f>
        <v/>
      </c>
      <c r="BL331" s="392">
        <f>IF(BL$4="Actuals",IF(BM$4="Actuals","",BM284),BL286)</f>
        <v/>
      </c>
      <c r="BM331" s="392">
        <f>IF(BM$4="Actuals",IF(BN$4="Actuals","",BN284),BM286)</f>
        <v/>
      </c>
      <c r="BN331" s="392">
        <f>IF(BN$4="Actuals",IF(BO$4="Actuals","",BO284),BN286)</f>
        <v/>
      </c>
      <c r="BO331" s="392">
        <f>IF(BO$4="Actuals",IF(BP$4="Actuals","",BP284),BO286)</f>
        <v/>
      </c>
      <c r="BP331" s="392">
        <f>IF(BP$4="Actuals",IF(BQ$4="Actuals","",BQ284),BP286)</f>
        <v/>
      </c>
      <c r="BQ331" s="392">
        <f>IF(BQ$4="Actuals",IF(BR$4="Actuals","",BR284),BQ286)</f>
        <v/>
      </c>
      <c r="BR331" s="392">
        <f>IF(BR$4="Actuals",IF(BS$4="Actuals","",BS284),BR286)</f>
        <v/>
      </c>
      <c r="BS331" s="392">
        <f>IF(BS$4="Actuals",IF(BT$4="Actuals","",BT284),BS286)</f>
        <v/>
      </c>
      <c r="BT331" s="392">
        <f>IF(BT$4="Actuals",IF(BU$4="Actuals","",BU284),BT286)</f>
        <v/>
      </c>
      <c r="BU331" s="392">
        <f>IF(BU$4="Actuals",IF(BV$4="Actuals","",BV284),BU286)</f>
        <v/>
      </c>
      <c r="BV331" s="392">
        <f>IF(BV$4="Actuals",IF(BW$4="Actuals","",BW284),BV286)</f>
        <v/>
      </c>
      <c r="BW331" s="392">
        <f>IF(BW$4="Actuals",IF(BX$4="Actuals","",BX284),BW286)</f>
        <v/>
      </c>
      <c r="BX331" s="392">
        <f>IF(BX$4="Actuals",IF(BY$4="Actuals","",BY284),BX286)</f>
        <v/>
      </c>
      <c r="BY331" s="392">
        <f>IF(BY$4="Actuals",IF(BZ$4="Actuals","",BZ284),BY286)</f>
        <v/>
      </c>
      <c r="BZ331" s="392">
        <f>IF(BZ$4="Actuals",IF(CA$4="Actuals","",CA284),BZ286)</f>
        <v/>
      </c>
      <c r="CA331" s="392">
        <f>IF(CA$4="Actuals",IF(CB$4="Actuals","",CB284),CA286)</f>
        <v/>
      </c>
      <c r="CB331" s="392">
        <f>IF(CB$4="Actuals",IF(CC$4="Actuals","",CC284),CB286)</f>
        <v/>
      </c>
      <c r="CC331" s="392">
        <f>IF(CC$4="Actuals",IF(CD$4="Actuals","",CD284),CC286)</f>
        <v/>
      </c>
      <c r="CD331" s="392">
        <f>IF(CD$4="Actuals",IF(CE$4="Actuals","",CE284),CD286)</f>
        <v/>
      </c>
      <c r="CE331" s="392">
        <f>IF(CE$4="Actuals",IF(CF$4="Actuals","",CF284),CE286)</f>
        <v/>
      </c>
      <c r="CF331" s="392">
        <f>IF(CF$4="Actuals",IF(CG$4="Actuals","",CG284),CF286)</f>
        <v/>
      </c>
      <c r="CG331" s="392">
        <f>IF(CG$4="Actuals",IF(CH$4="Actuals","",CH284),CG286)</f>
        <v/>
      </c>
      <c r="CH331" s="392">
        <f>IF(CH$4="Actuals",IF(CI$4="Actuals","",CI284),CH286)</f>
        <v/>
      </c>
      <c r="CI331" s="392">
        <f>IF(CI$4="Actuals",IF(CJ$4="Actuals","",CJ284),CI286)</f>
        <v/>
      </c>
      <c r="CJ331" s="392">
        <f>IF(CJ$4="Actuals",IF(CK$4="Actuals","",CK284),CJ286)</f>
        <v/>
      </c>
      <c r="CK331" s="392">
        <f>IF(CK$4="Actuals",IF(CL$4="Actuals","",CL284),CK286)</f>
        <v/>
      </c>
      <c r="CL331" s="392">
        <f>IF(CL$4="Actuals",IF(CM$4="Actuals","",CM284),CL286)</f>
        <v/>
      </c>
      <c r="CM331" s="392">
        <f>IF(CM$4="Actuals",IF(CN$4="Actuals","",CN284),CM286)</f>
        <v/>
      </c>
      <c r="CN331" s="392">
        <f>IF(CN$4="Actuals",IF(CO$4="Actuals","",CO284),CN286)</f>
        <v/>
      </c>
      <c r="CO331" s="392">
        <f>IF(CO$4="Actuals",IF(CP$4="Actuals","",CP284),CO286)</f>
        <v/>
      </c>
      <c r="CP331" s="392">
        <f>IF(CP$4="Actuals",IF(CQ$4="Actuals","",CQ284),CP286)</f>
        <v/>
      </c>
      <c r="CQ331" s="392">
        <f>IF(CQ$4="Actuals",IF(CR$4="Actuals","",CR284),CQ286)</f>
        <v/>
      </c>
      <c r="CR331" s="392">
        <f>IF(CR$4="Actuals",IF(CS$4="Actuals","",CS284),CR286)</f>
        <v/>
      </c>
      <c r="CS331" s="392">
        <f>IF(CS$4="Actuals",IF(CT$4="Actuals","",CT284),CS286)</f>
        <v/>
      </c>
      <c r="CT331" s="392">
        <f>IF(CT$4="Actuals",IF(CU$4="Actuals","",CU284),CT286)</f>
        <v/>
      </c>
      <c r="CU331" s="392">
        <f>IF(CU$4="Actuals",IF(CV$4="Actuals","",CV284),CU286)</f>
        <v/>
      </c>
      <c r="CV331" s="392">
        <f>IF(CV$4="Actuals",IF(CW$4="Actuals","",CW284),CV286)</f>
        <v/>
      </c>
      <c r="CW331" s="392">
        <f>IF(CW$4="Actuals",IF(CX$4="Actuals","",CX284),CW286)</f>
        <v/>
      </c>
      <c r="CX331" s="392">
        <f>IF(CX$4="Actuals",IF(CY$4="Actuals","",CY284),CX286)</f>
        <v/>
      </c>
      <c r="CY331" s="392">
        <f>IF(CY$4="Actuals",IF(CZ$4="Actuals","",CZ284),CY286)</f>
        <v/>
      </c>
      <c r="CZ331" s="392">
        <f>IF(CZ$4="Actuals",IF(DA$4="Actuals","",DA284),CZ286)</f>
        <v/>
      </c>
      <c r="DA331" s="392">
        <f>IF(DA$4="Actuals",IF(DB$4="Actuals","",DB284),DA286)</f>
        <v/>
      </c>
      <c r="DB331" s="392">
        <f>IF(DB$4="Actuals",IF(DC$4="Actuals","",DC284),DB286)</f>
        <v/>
      </c>
      <c r="DC331" s="392">
        <f>IF(DC$4="Actuals",IF(DD$4="Actuals","",DD284),DC286)</f>
        <v/>
      </c>
      <c r="DD331" s="392">
        <f>IF(DD$4="Actuals",IF(DE$4="Actuals","",DE284),DD286)</f>
        <v/>
      </c>
      <c r="DE331" s="392">
        <f>IF(DE$4="Actuals",IF(DF$4="Actuals","",DF284),DE286)</f>
        <v/>
      </c>
    </row>
    <row r="332" ht="15" customHeight="1" s="410">
      <c r="A332" s="397" t="inlineStr">
        <is>
          <t>Variance — model less actual (must be 0 on the opening balance)</t>
        </is>
      </c>
      <c r="B332" s="392">
        <f>IF(OR(B330="",B331=""),"",B331-B330)</f>
        <v/>
      </c>
      <c r="C332" s="392">
        <f>IF(OR(C330="",C331=""),"",C331-C330)</f>
        <v/>
      </c>
      <c r="D332" s="392">
        <f>IF(OR(D330="",D331=""),"",D331-D330)</f>
        <v/>
      </c>
      <c r="E332" s="392">
        <f>IF(OR(E330="",E331=""),"",E331-E330)</f>
        <v/>
      </c>
      <c r="F332" s="392">
        <f>IF(OR(F330="",F331=""),"",F331-F330)</f>
        <v/>
      </c>
      <c r="G332" s="392">
        <f>IF(OR(G330="",G331=""),"",G331-G330)</f>
        <v/>
      </c>
      <c r="H332" s="392">
        <f>IF(OR(H330="",H331=""),"",H331-H330)</f>
        <v/>
      </c>
      <c r="I332" s="392">
        <f>IF(OR(I330="",I331=""),"",I331-I330)</f>
        <v/>
      </c>
      <c r="J332" s="392">
        <f>IF(OR(J330="",J331=""),"",J331-J330)</f>
        <v/>
      </c>
      <c r="K332" s="392">
        <f>IF(OR(K330="",K331=""),"",K331-K330)</f>
        <v/>
      </c>
      <c r="L332" s="392">
        <f>IF(OR(L330="",L331=""),"",L331-L330)</f>
        <v/>
      </c>
      <c r="M332" s="392">
        <f>IF(OR(M330="",M331=""),"",M331-M330)</f>
        <v/>
      </c>
      <c r="N332" s="392">
        <f>IF(OR(N330="",N331=""),"",N331-N330)</f>
        <v/>
      </c>
      <c r="O332" s="392">
        <f>IF(OR(O330="",O331=""),"",O331-O330)</f>
        <v/>
      </c>
      <c r="P332" s="392">
        <f>IF(OR(P330="",P331=""),"",P331-P330)</f>
        <v/>
      </c>
      <c r="Q332" s="392">
        <f>IF(OR(Q330="",Q331=""),"",Q331-Q330)</f>
        <v/>
      </c>
      <c r="R332" s="392">
        <f>IF(OR(R330="",R331=""),"",R331-R330)</f>
        <v/>
      </c>
      <c r="S332" s="392">
        <f>IF(OR(S330="",S331=""),"",S331-S330)</f>
        <v/>
      </c>
      <c r="T332" s="392">
        <f>IF(OR(T330="",T331=""),"",T331-T330)</f>
        <v/>
      </c>
      <c r="U332" s="392">
        <f>IF(OR(U330="",U331=""),"",U331-U330)</f>
        <v/>
      </c>
      <c r="V332" s="392">
        <f>IF(OR(V330="",V331=""),"",V331-V330)</f>
        <v/>
      </c>
      <c r="W332" s="392">
        <f>IF(OR(W330="",W331=""),"",W331-W330)</f>
        <v/>
      </c>
      <c r="X332" s="392">
        <f>IF(OR(X330="",X331=""),"",X331-X330)</f>
        <v/>
      </c>
      <c r="Y332" s="392">
        <f>IF(OR(Y330="",Y331=""),"",Y331-Y330)</f>
        <v/>
      </c>
      <c r="Z332" s="392">
        <f>IF(OR(Z330="",Z331=""),"",Z331-Z330)</f>
        <v/>
      </c>
      <c r="AA332" s="392">
        <f>IF(OR(AA330="",AA331=""),"",AA331-AA330)</f>
        <v/>
      </c>
      <c r="AB332" s="392">
        <f>IF(OR(AB330="",AB331=""),"",AB331-AB330)</f>
        <v/>
      </c>
      <c r="AC332" s="392">
        <f>IF(OR(AC330="",AC331=""),"",AC331-AC330)</f>
        <v/>
      </c>
      <c r="AD332" s="392">
        <f>IF(OR(AD330="",AD331=""),"",AD331-AD330)</f>
        <v/>
      </c>
      <c r="AE332" s="392">
        <f>IF(OR(AE330="",AE331=""),"",AE331-AE330)</f>
        <v/>
      </c>
      <c r="AF332" s="392">
        <f>IF(OR(AF330="",AF331=""),"",AF331-AF330)</f>
        <v/>
      </c>
      <c r="AG332" s="392">
        <f>IF(OR(AG330="",AG331=""),"",AG331-AG330)</f>
        <v/>
      </c>
      <c r="AH332" s="392">
        <f>IF(OR(AH330="",AH331=""),"",AH331-AH330)</f>
        <v/>
      </c>
      <c r="AI332" s="392">
        <f>IF(OR(AI330="",AI331=""),"",AI331-AI330)</f>
        <v/>
      </c>
      <c r="AJ332" s="392">
        <f>IF(OR(AJ330="",AJ331=""),"",AJ331-AJ330)</f>
        <v/>
      </c>
      <c r="AK332" s="392">
        <f>IF(OR(AK330="",AK331=""),"",AK331-AK330)</f>
        <v/>
      </c>
      <c r="AL332" s="392">
        <f>IF(OR(AL330="",AL331=""),"",AL331-AL330)</f>
        <v/>
      </c>
      <c r="AM332" s="392">
        <f>IF(OR(AM330="",AM331=""),"",AM331-AM330)</f>
        <v/>
      </c>
      <c r="AN332" s="392">
        <f>IF(OR(AN330="",AN331=""),"",AN331-AN330)</f>
        <v/>
      </c>
      <c r="AO332" s="392">
        <f>IF(OR(AO330="",AO331=""),"",AO331-AO330)</f>
        <v/>
      </c>
      <c r="AP332" s="392">
        <f>IF(OR(AP330="",AP331=""),"",AP331-AP330)</f>
        <v/>
      </c>
      <c r="AQ332" s="392">
        <f>IF(OR(AQ330="",AQ331=""),"",AQ331-AQ330)</f>
        <v/>
      </c>
      <c r="AR332" s="392">
        <f>IF(OR(AR330="",AR331=""),"",AR331-AR330)</f>
        <v/>
      </c>
      <c r="AS332" s="392">
        <f>IF(OR(AS330="",AS331=""),"",AS331-AS330)</f>
        <v/>
      </c>
      <c r="AT332" s="392">
        <f>IF(OR(AT330="",AT331=""),"",AT331-AT330)</f>
        <v/>
      </c>
      <c r="AU332" s="392">
        <f>IF(OR(AU330="",AU331=""),"",AU331-AU330)</f>
        <v/>
      </c>
      <c r="AV332" s="392">
        <f>IF(OR(AV330="",AV331=""),"",AV331-AV330)</f>
        <v/>
      </c>
      <c r="AW332" s="392">
        <f>IF(OR(AW330="",AW331=""),"",AW331-AW330)</f>
        <v/>
      </c>
      <c r="AX332" s="392">
        <f>IF(OR(AX330="",AX331=""),"",AX331-AX330)</f>
        <v/>
      </c>
      <c r="AY332" s="392">
        <f>IF(OR(AY330="",AY331=""),"",AY331-AY330)</f>
        <v/>
      </c>
      <c r="AZ332" s="392">
        <f>IF(OR(AZ330="",AZ331=""),"",AZ331-AZ330)</f>
        <v/>
      </c>
      <c r="BA332" s="392">
        <f>IF(OR(BA330="",BA331=""),"",BA331-BA330)</f>
        <v/>
      </c>
      <c r="BB332" s="392">
        <f>IF(OR(BB330="",BB331=""),"",BB331-BB330)</f>
        <v/>
      </c>
      <c r="BC332" s="392">
        <f>IF(OR(BC330="",BC331=""),"",BC331-BC330)</f>
        <v/>
      </c>
      <c r="BD332" s="392">
        <f>IF(OR(BD330="",BD331=""),"",BD331-BD330)</f>
        <v/>
      </c>
      <c r="BE332" s="392">
        <f>IF(OR(BE330="",BE331=""),"",BE331-BE330)</f>
        <v/>
      </c>
      <c r="BF332" s="392">
        <f>IF(OR(BF330="",BF331=""),"",BF331-BF330)</f>
        <v/>
      </c>
      <c r="BG332" s="392">
        <f>IF(OR(BG330="",BG331=""),"",BG331-BG330)</f>
        <v/>
      </c>
      <c r="BH332" s="392">
        <f>IF(OR(BH330="",BH331=""),"",BH331-BH330)</f>
        <v/>
      </c>
      <c r="BI332" s="392">
        <f>IF(OR(BI330="",BI331=""),"",BI331-BI330)</f>
        <v/>
      </c>
      <c r="BJ332" s="392">
        <f>IF(OR(BJ330="",BJ331=""),"",BJ331-BJ330)</f>
        <v/>
      </c>
      <c r="BK332" s="392">
        <f>IF(OR(BK330="",BK331=""),"",BK331-BK330)</f>
        <v/>
      </c>
      <c r="BL332" s="392">
        <f>IF(OR(BL330="",BL331=""),"",BL331-BL330)</f>
        <v/>
      </c>
      <c r="BM332" s="392">
        <f>IF(OR(BM330="",BM331=""),"",BM331-BM330)</f>
        <v/>
      </c>
      <c r="BN332" s="392">
        <f>IF(OR(BN330="",BN331=""),"",BN331-BN330)</f>
        <v/>
      </c>
      <c r="BO332" s="392">
        <f>IF(OR(BO330="",BO331=""),"",BO331-BO330)</f>
        <v/>
      </c>
      <c r="BP332" s="392">
        <f>IF(OR(BP330="",BP331=""),"",BP331-BP330)</f>
        <v/>
      </c>
      <c r="BQ332" s="392">
        <f>IF(OR(BQ330="",BQ331=""),"",BQ331-BQ330)</f>
        <v/>
      </c>
      <c r="BR332" s="392">
        <f>IF(OR(BR330="",BR331=""),"",BR331-BR330)</f>
        <v/>
      </c>
      <c r="BS332" s="392">
        <f>IF(OR(BS330="",BS331=""),"",BS331-BS330)</f>
        <v/>
      </c>
      <c r="BT332" s="392">
        <f>IF(OR(BT330="",BT331=""),"",BT331-BT330)</f>
        <v/>
      </c>
      <c r="BU332" s="392">
        <f>IF(OR(BU330="",BU331=""),"",BU331-BU330)</f>
        <v/>
      </c>
      <c r="BV332" s="392">
        <f>IF(OR(BV330="",BV331=""),"",BV331-BV330)</f>
        <v/>
      </c>
      <c r="BW332" s="392">
        <f>IF(OR(BW330="",BW331=""),"",BW331-BW330)</f>
        <v/>
      </c>
      <c r="BX332" s="392">
        <f>IF(OR(BX330="",BX331=""),"",BX331-BX330)</f>
        <v/>
      </c>
      <c r="BY332" s="392">
        <f>IF(OR(BY330="",BY331=""),"",BY331-BY330)</f>
        <v/>
      </c>
      <c r="BZ332" s="392">
        <f>IF(OR(BZ330="",BZ331=""),"",BZ331-BZ330)</f>
        <v/>
      </c>
      <c r="CA332" s="392">
        <f>IF(OR(CA330="",CA331=""),"",CA331-CA330)</f>
        <v/>
      </c>
      <c r="CB332" s="392">
        <f>IF(OR(CB330="",CB331=""),"",CB331-CB330)</f>
        <v/>
      </c>
      <c r="CC332" s="392">
        <f>IF(OR(CC330="",CC331=""),"",CC331-CC330)</f>
        <v/>
      </c>
      <c r="CD332" s="392">
        <f>IF(OR(CD330="",CD331=""),"",CD331-CD330)</f>
        <v/>
      </c>
      <c r="CE332" s="392">
        <f>IF(OR(CE330="",CE331=""),"",CE331-CE330)</f>
        <v/>
      </c>
      <c r="CF332" s="392">
        <f>IF(OR(CF330="",CF331=""),"",CF331-CF330)</f>
        <v/>
      </c>
      <c r="CG332" s="392">
        <f>IF(OR(CG330="",CG331=""),"",CG331-CG330)</f>
        <v/>
      </c>
      <c r="CH332" s="392">
        <f>IF(OR(CH330="",CH331=""),"",CH331-CH330)</f>
        <v/>
      </c>
      <c r="CI332" s="392">
        <f>IF(OR(CI330="",CI331=""),"",CI331-CI330)</f>
        <v/>
      </c>
      <c r="CJ332" s="392">
        <f>IF(OR(CJ330="",CJ331=""),"",CJ331-CJ330)</f>
        <v/>
      </c>
      <c r="CK332" s="392">
        <f>IF(OR(CK330="",CK331=""),"",CK331-CK330)</f>
        <v/>
      </c>
      <c r="CL332" s="392">
        <f>IF(OR(CL330="",CL331=""),"",CL331-CL330)</f>
        <v/>
      </c>
      <c r="CM332" s="392">
        <f>IF(OR(CM330="",CM331=""),"",CM331-CM330)</f>
        <v/>
      </c>
      <c r="CN332" s="392">
        <f>IF(OR(CN330="",CN331=""),"",CN331-CN330)</f>
        <v/>
      </c>
      <c r="CO332" s="392">
        <f>IF(OR(CO330="",CO331=""),"",CO331-CO330)</f>
        <v/>
      </c>
      <c r="CP332" s="392">
        <f>IF(OR(CP330="",CP331=""),"",CP331-CP330)</f>
        <v/>
      </c>
      <c r="CQ332" s="392">
        <f>IF(OR(CQ330="",CQ331=""),"",CQ331-CQ330)</f>
        <v/>
      </c>
      <c r="CR332" s="392">
        <f>IF(OR(CR330="",CR331=""),"",CR331-CR330)</f>
        <v/>
      </c>
      <c r="CS332" s="392">
        <f>IF(OR(CS330="",CS331=""),"",CS331-CS330)</f>
        <v/>
      </c>
      <c r="CT332" s="392">
        <f>IF(OR(CT330="",CT331=""),"",CT331-CT330)</f>
        <v/>
      </c>
      <c r="CU332" s="392">
        <f>IF(OR(CU330="",CU331=""),"",CU331-CU330)</f>
        <v/>
      </c>
      <c r="CV332" s="392">
        <f>IF(OR(CV330="",CV331=""),"",CV331-CV330)</f>
        <v/>
      </c>
      <c r="CW332" s="392">
        <f>IF(OR(CW330="",CW331=""),"",CW331-CW330)</f>
        <v/>
      </c>
      <c r="CX332" s="392">
        <f>IF(OR(CX330="",CX331=""),"",CX331-CX330)</f>
        <v/>
      </c>
      <c r="CY332" s="392">
        <f>IF(OR(CY330="",CY331=""),"",CY331-CY330)</f>
        <v/>
      </c>
      <c r="CZ332" s="392">
        <f>IF(OR(CZ330="",CZ331=""),"",CZ331-CZ330)</f>
        <v/>
      </c>
      <c r="DA332" s="392">
        <f>IF(OR(DA330="",DA331=""),"",DA331-DA330)</f>
        <v/>
      </c>
      <c r="DB332" s="392">
        <f>IF(OR(DB330="",DB331=""),"",DB331-DB330)</f>
        <v/>
      </c>
      <c r="DC332" s="392">
        <f>IF(OR(DC330="",DC331=""),"",DC331-DC330)</f>
        <v/>
      </c>
      <c r="DD332" s="392">
        <f>IF(OR(DD330="",DD331=""),"",DD331-DD330)</f>
        <v/>
      </c>
      <c r="DE332" s="392">
        <f>IF(OR(DE330="",DE331=""),"",DE331-DE330)</f>
        <v/>
      </c>
    </row>
    <row r="333" ht="15" customHeight="1" s="410">
      <c r="A333" s="397" t="inlineStr">
        <is>
          <t>Tie check</t>
        </is>
      </c>
      <c r="B333" s="401">
        <f>IF(B332="","",IF(ABS(B332)&lt;1,"OK","CHECK"))</f>
        <v/>
      </c>
      <c r="C333" s="401">
        <f>IF(C332="","",IF(ABS(C332)&lt;1,"OK","CHECK"))</f>
        <v/>
      </c>
      <c r="D333" s="401">
        <f>IF(D332="","",IF(ABS(D332)&lt;1,"OK","CHECK"))</f>
        <v/>
      </c>
      <c r="E333" s="401">
        <f>IF(E332="","",IF(ABS(E332)&lt;1,"OK","CHECK"))</f>
        <v/>
      </c>
      <c r="F333" s="401">
        <f>IF(F332="","",IF(ABS(F332)&lt;1,"OK","CHECK"))</f>
        <v/>
      </c>
      <c r="G333" s="401">
        <f>IF(G332="","",IF(ABS(G332)&lt;1,"OK","CHECK"))</f>
        <v/>
      </c>
      <c r="H333" s="401">
        <f>IF(H332="","",IF(ABS(H332)&lt;1,"OK","CHECK"))</f>
        <v/>
      </c>
      <c r="I333" s="401">
        <f>IF(I332="","",IF(ABS(I332)&lt;1,"OK","CHECK"))</f>
        <v/>
      </c>
      <c r="J333" s="401">
        <f>IF(J332="","",IF(ABS(J332)&lt;1,"OK","CHECK"))</f>
        <v/>
      </c>
      <c r="K333" s="401">
        <f>IF(K332="","",IF(ABS(K332)&lt;1,"OK","CHECK"))</f>
        <v/>
      </c>
      <c r="L333" s="401">
        <f>IF(L332="","",IF(ABS(L332)&lt;1,"OK","CHECK"))</f>
        <v/>
      </c>
      <c r="M333" s="401">
        <f>IF(M332="","",IF(ABS(M332)&lt;1,"OK","CHECK"))</f>
        <v/>
      </c>
      <c r="N333" s="401">
        <f>IF(N332="","",IF(ABS(N332)&lt;1,"OK","CHECK"))</f>
        <v/>
      </c>
      <c r="O333" s="401">
        <f>IF(O332="","",IF(ABS(O332)&lt;1,"OK","CHECK"))</f>
        <v/>
      </c>
      <c r="P333" s="401">
        <f>IF(P332="","",IF(ABS(P332)&lt;1,"OK","CHECK"))</f>
        <v/>
      </c>
      <c r="Q333" s="401">
        <f>IF(Q332="","",IF(ABS(Q332)&lt;1,"OK","CHECK"))</f>
        <v/>
      </c>
      <c r="R333" s="401">
        <f>IF(R332="","",IF(ABS(R332)&lt;1,"OK","CHECK"))</f>
        <v/>
      </c>
      <c r="S333" s="401">
        <f>IF(S332="","",IF(ABS(S332)&lt;1,"OK","CHECK"))</f>
        <v/>
      </c>
      <c r="T333" s="401">
        <f>IF(T332="","",IF(ABS(T332)&lt;1,"OK","CHECK"))</f>
        <v/>
      </c>
      <c r="U333" s="401">
        <f>IF(U332="","",IF(ABS(U332)&lt;1,"OK","CHECK"))</f>
        <v/>
      </c>
      <c r="V333" s="401">
        <f>IF(V332="","",IF(ABS(V332)&lt;1,"OK","CHECK"))</f>
        <v/>
      </c>
      <c r="W333" s="401">
        <f>IF(W332="","",IF(ABS(W332)&lt;1,"OK","CHECK"))</f>
        <v/>
      </c>
      <c r="X333" s="401">
        <f>IF(X332="","",IF(ABS(X332)&lt;1,"OK","CHECK"))</f>
        <v/>
      </c>
      <c r="Y333" s="401">
        <f>IF(Y332="","",IF(ABS(Y332)&lt;1,"OK","CHECK"))</f>
        <v/>
      </c>
      <c r="Z333" s="401">
        <f>IF(Z332="","",IF(ABS(Z332)&lt;1,"OK","CHECK"))</f>
        <v/>
      </c>
      <c r="AA333" s="401">
        <f>IF(AA332="","",IF(ABS(AA332)&lt;1,"OK","CHECK"))</f>
        <v/>
      </c>
      <c r="AB333" s="401">
        <f>IF(AB332="","",IF(ABS(AB332)&lt;1,"OK","CHECK"))</f>
        <v/>
      </c>
      <c r="AC333" s="401">
        <f>IF(AC332="","",IF(ABS(AC332)&lt;1,"OK","CHECK"))</f>
        <v/>
      </c>
      <c r="AD333" s="401">
        <f>IF(AD332="","",IF(ABS(AD332)&lt;1,"OK","CHECK"))</f>
        <v/>
      </c>
      <c r="AE333" s="401">
        <f>IF(AE332="","",IF(ABS(AE332)&lt;1,"OK","CHECK"))</f>
        <v/>
      </c>
      <c r="AF333" s="401">
        <f>IF(AF332="","",IF(ABS(AF332)&lt;1,"OK","CHECK"))</f>
        <v/>
      </c>
      <c r="AG333" s="401">
        <f>IF(AG332="","",IF(ABS(AG332)&lt;1,"OK","CHECK"))</f>
        <v/>
      </c>
      <c r="AH333" s="401">
        <f>IF(AH332="","",IF(ABS(AH332)&lt;1,"OK","CHECK"))</f>
        <v/>
      </c>
      <c r="AI333" s="401">
        <f>IF(AI332="","",IF(ABS(AI332)&lt;1,"OK","CHECK"))</f>
        <v/>
      </c>
      <c r="AJ333" s="401">
        <f>IF(AJ332="","",IF(ABS(AJ332)&lt;1,"OK","CHECK"))</f>
        <v/>
      </c>
      <c r="AK333" s="401">
        <f>IF(AK332="","",IF(ABS(AK332)&lt;1,"OK","CHECK"))</f>
        <v/>
      </c>
      <c r="AL333" s="401">
        <f>IF(AL332="","",IF(ABS(AL332)&lt;1,"OK","CHECK"))</f>
        <v/>
      </c>
      <c r="AM333" s="401">
        <f>IF(AM332="","",IF(ABS(AM332)&lt;1,"OK","CHECK"))</f>
        <v/>
      </c>
      <c r="AN333" s="401">
        <f>IF(AN332="","",IF(ABS(AN332)&lt;1,"OK","CHECK"))</f>
        <v/>
      </c>
      <c r="AO333" s="401">
        <f>IF(AO332="","",IF(ABS(AO332)&lt;1,"OK","CHECK"))</f>
        <v/>
      </c>
      <c r="AP333" s="401">
        <f>IF(AP332="","",IF(ABS(AP332)&lt;1,"OK","CHECK"))</f>
        <v/>
      </c>
      <c r="AQ333" s="401">
        <f>IF(AQ332="","",IF(ABS(AQ332)&lt;1,"OK","CHECK"))</f>
        <v/>
      </c>
      <c r="AR333" s="401">
        <f>IF(AR332="","",IF(ABS(AR332)&lt;1,"OK","CHECK"))</f>
        <v/>
      </c>
      <c r="AS333" s="401">
        <f>IF(AS332="","",IF(ABS(AS332)&lt;1,"OK","CHECK"))</f>
        <v/>
      </c>
      <c r="AT333" s="401">
        <f>IF(AT332="","",IF(ABS(AT332)&lt;1,"OK","CHECK"))</f>
        <v/>
      </c>
      <c r="AU333" s="401">
        <f>IF(AU332="","",IF(ABS(AU332)&lt;1,"OK","CHECK"))</f>
        <v/>
      </c>
      <c r="AV333" s="401">
        <f>IF(AV332="","",IF(ABS(AV332)&lt;1,"OK","CHECK"))</f>
        <v/>
      </c>
      <c r="AW333" s="401">
        <f>IF(AW332="","",IF(ABS(AW332)&lt;1,"OK","CHECK"))</f>
        <v/>
      </c>
      <c r="AX333" s="401">
        <f>IF(AX332="","",IF(ABS(AX332)&lt;1,"OK","CHECK"))</f>
        <v/>
      </c>
      <c r="AY333" s="401">
        <f>IF(AY332="","",IF(ABS(AY332)&lt;1,"OK","CHECK"))</f>
        <v/>
      </c>
      <c r="AZ333" s="401">
        <f>IF(AZ332="","",IF(ABS(AZ332)&lt;1,"OK","CHECK"))</f>
        <v/>
      </c>
      <c r="BA333" s="401">
        <f>IF(BA332="","",IF(ABS(BA332)&lt;1,"OK","CHECK"))</f>
        <v/>
      </c>
      <c r="BB333" s="401">
        <f>IF(BB332="","",IF(ABS(BB332)&lt;1,"OK","CHECK"))</f>
        <v/>
      </c>
      <c r="BC333" s="401">
        <f>IF(BC332="","",IF(ABS(BC332)&lt;1,"OK","CHECK"))</f>
        <v/>
      </c>
      <c r="BD333" s="401">
        <f>IF(BD332="","",IF(ABS(BD332)&lt;1,"OK","CHECK"))</f>
        <v/>
      </c>
      <c r="BE333" s="401">
        <f>IF(BE332="","",IF(ABS(BE332)&lt;1,"OK","CHECK"))</f>
        <v/>
      </c>
      <c r="BF333" s="401">
        <f>IF(BF332="","",IF(ABS(BF332)&lt;1,"OK","CHECK"))</f>
        <v/>
      </c>
      <c r="BG333" s="401">
        <f>IF(BG332="","",IF(ABS(BG332)&lt;1,"OK","CHECK"))</f>
        <v/>
      </c>
      <c r="BH333" s="401">
        <f>IF(BH332="","",IF(ABS(BH332)&lt;1,"OK","CHECK"))</f>
        <v/>
      </c>
      <c r="BI333" s="401">
        <f>IF(BI332="","",IF(ABS(BI332)&lt;1,"OK","CHECK"))</f>
        <v/>
      </c>
      <c r="BJ333" s="401">
        <f>IF(BJ332="","",IF(ABS(BJ332)&lt;1,"OK","CHECK"))</f>
        <v/>
      </c>
      <c r="BK333" s="401">
        <f>IF(BK332="","",IF(ABS(BK332)&lt;1,"OK","CHECK"))</f>
        <v/>
      </c>
      <c r="BL333" s="401">
        <f>IF(BL332="","",IF(ABS(BL332)&lt;1,"OK","CHECK"))</f>
        <v/>
      </c>
      <c r="BM333" s="401">
        <f>IF(BM332="","",IF(ABS(BM332)&lt;1,"OK","CHECK"))</f>
        <v/>
      </c>
      <c r="BN333" s="401">
        <f>IF(BN332="","",IF(ABS(BN332)&lt;1,"OK","CHECK"))</f>
        <v/>
      </c>
      <c r="BO333" s="401">
        <f>IF(BO332="","",IF(ABS(BO332)&lt;1,"OK","CHECK"))</f>
        <v/>
      </c>
      <c r="BP333" s="401">
        <f>IF(BP332="","",IF(ABS(BP332)&lt;1,"OK","CHECK"))</f>
        <v/>
      </c>
      <c r="BQ333" s="401">
        <f>IF(BQ332="","",IF(ABS(BQ332)&lt;1,"OK","CHECK"))</f>
        <v/>
      </c>
      <c r="BR333" s="401">
        <f>IF(BR332="","",IF(ABS(BR332)&lt;1,"OK","CHECK"))</f>
        <v/>
      </c>
      <c r="BS333" s="401">
        <f>IF(BS332="","",IF(ABS(BS332)&lt;1,"OK","CHECK"))</f>
        <v/>
      </c>
      <c r="BT333" s="401">
        <f>IF(BT332="","",IF(ABS(BT332)&lt;1,"OK","CHECK"))</f>
        <v/>
      </c>
      <c r="BU333" s="401">
        <f>IF(BU332="","",IF(ABS(BU332)&lt;1,"OK","CHECK"))</f>
        <v/>
      </c>
      <c r="BV333" s="401">
        <f>IF(BV332="","",IF(ABS(BV332)&lt;1,"OK","CHECK"))</f>
        <v/>
      </c>
      <c r="BW333" s="401">
        <f>IF(BW332="","",IF(ABS(BW332)&lt;1,"OK","CHECK"))</f>
        <v/>
      </c>
      <c r="BX333" s="401">
        <f>IF(BX332="","",IF(ABS(BX332)&lt;1,"OK","CHECK"))</f>
        <v/>
      </c>
      <c r="BY333" s="401">
        <f>IF(BY332="","",IF(ABS(BY332)&lt;1,"OK","CHECK"))</f>
        <v/>
      </c>
      <c r="BZ333" s="401">
        <f>IF(BZ332="","",IF(ABS(BZ332)&lt;1,"OK","CHECK"))</f>
        <v/>
      </c>
      <c r="CA333" s="401">
        <f>IF(CA332="","",IF(ABS(CA332)&lt;1,"OK","CHECK"))</f>
        <v/>
      </c>
      <c r="CB333" s="401">
        <f>IF(CB332="","",IF(ABS(CB332)&lt;1,"OK","CHECK"))</f>
        <v/>
      </c>
      <c r="CC333" s="401">
        <f>IF(CC332="","",IF(ABS(CC332)&lt;1,"OK","CHECK"))</f>
        <v/>
      </c>
      <c r="CD333" s="401">
        <f>IF(CD332="","",IF(ABS(CD332)&lt;1,"OK","CHECK"))</f>
        <v/>
      </c>
      <c r="CE333" s="401">
        <f>IF(CE332="","",IF(ABS(CE332)&lt;1,"OK","CHECK"))</f>
        <v/>
      </c>
      <c r="CF333" s="401">
        <f>IF(CF332="","",IF(ABS(CF332)&lt;1,"OK","CHECK"))</f>
        <v/>
      </c>
      <c r="CG333" s="401">
        <f>IF(CG332="","",IF(ABS(CG332)&lt;1,"OK","CHECK"))</f>
        <v/>
      </c>
      <c r="CH333" s="401">
        <f>IF(CH332="","",IF(ABS(CH332)&lt;1,"OK","CHECK"))</f>
        <v/>
      </c>
      <c r="CI333" s="401">
        <f>IF(CI332="","",IF(ABS(CI332)&lt;1,"OK","CHECK"))</f>
        <v/>
      </c>
      <c r="CJ333" s="401">
        <f>IF(CJ332="","",IF(ABS(CJ332)&lt;1,"OK","CHECK"))</f>
        <v/>
      </c>
      <c r="CK333" s="401">
        <f>IF(CK332="","",IF(ABS(CK332)&lt;1,"OK","CHECK"))</f>
        <v/>
      </c>
      <c r="CL333" s="401">
        <f>IF(CL332="","",IF(ABS(CL332)&lt;1,"OK","CHECK"))</f>
        <v/>
      </c>
      <c r="CM333" s="401">
        <f>IF(CM332="","",IF(ABS(CM332)&lt;1,"OK","CHECK"))</f>
        <v/>
      </c>
      <c r="CN333" s="401">
        <f>IF(CN332="","",IF(ABS(CN332)&lt;1,"OK","CHECK"))</f>
        <v/>
      </c>
      <c r="CO333" s="401">
        <f>IF(CO332="","",IF(ABS(CO332)&lt;1,"OK","CHECK"))</f>
        <v/>
      </c>
      <c r="CP333" s="401">
        <f>IF(CP332="","",IF(ABS(CP332)&lt;1,"OK","CHECK"))</f>
        <v/>
      </c>
      <c r="CQ333" s="401">
        <f>IF(CQ332="","",IF(ABS(CQ332)&lt;1,"OK","CHECK"))</f>
        <v/>
      </c>
      <c r="CR333" s="401">
        <f>IF(CR332="","",IF(ABS(CR332)&lt;1,"OK","CHECK"))</f>
        <v/>
      </c>
      <c r="CS333" s="401">
        <f>IF(CS332="","",IF(ABS(CS332)&lt;1,"OK","CHECK"))</f>
        <v/>
      </c>
      <c r="CT333" s="401">
        <f>IF(CT332="","",IF(ABS(CT332)&lt;1,"OK","CHECK"))</f>
        <v/>
      </c>
      <c r="CU333" s="401">
        <f>IF(CU332="","",IF(ABS(CU332)&lt;1,"OK","CHECK"))</f>
        <v/>
      </c>
      <c r="CV333" s="401">
        <f>IF(CV332="","",IF(ABS(CV332)&lt;1,"OK","CHECK"))</f>
        <v/>
      </c>
      <c r="CW333" s="401">
        <f>IF(CW332="","",IF(ABS(CW332)&lt;1,"OK","CHECK"))</f>
        <v/>
      </c>
      <c r="CX333" s="401">
        <f>IF(CX332="","",IF(ABS(CX332)&lt;1,"OK","CHECK"))</f>
        <v/>
      </c>
      <c r="CY333" s="401">
        <f>IF(CY332="","",IF(ABS(CY332)&lt;1,"OK","CHECK"))</f>
        <v/>
      </c>
      <c r="CZ333" s="401">
        <f>IF(CZ332="","",IF(ABS(CZ332)&lt;1,"OK","CHECK"))</f>
        <v/>
      </c>
      <c r="DA333" s="401">
        <f>IF(DA332="","",IF(ABS(DA332)&lt;1,"OK","CHECK"))</f>
        <v/>
      </c>
      <c r="DB333" s="401">
        <f>IF(DB332="","",IF(ABS(DB332)&lt;1,"OK","CHECK"))</f>
        <v/>
      </c>
      <c r="DC333" s="401">
        <f>IF(DC332="","",IF(ABS(DC332)&lt;1,"OK","CHECK"))</f>
        <v/>
      </c>
      <c r="DD333" s="401">
        <f>IF(DD332="","",IF(ABS(DD332)&lt;1,"OK","CHECK"))</f>
        <v/>
      </c>
      <c r="DE333" s="401">
        <f>IF(DE332="","",IF(ABS(DE332)&lt;1,"OK","CHECK"))</f>
        <v/>
      </c>
    </row>
    <row r="334" ht="15" customHeight="1" s="410">
      <c r="A334" s="397" t="inlineStr">
        <is>
          <t>Prior pack: model ending cash projected for this month-end (hardcode at each close)</t>
        </is>
      </c>
      <c r="B334" s="392" t="n"/>
      <c r="C334" s="392" t="n"/>
      <c r="D334" s="392" t="n"/>
      <c r="E334" s="392" t="n"/>
      <c r="F334" s="392" t="n"/>
      <c r="G334" s="392" t="n"/>
      <c r="H334" s="453" t="n">
        <v>912018</v>
      </c>
      <c r="I334" s="453" t="n">
        <v>2649471</v>
      </c>
      <c r="J334" s="392" t="n"/>
      <c r="K334" s="392" t="n"/>
      <c r="L334" s="392" t="n"/>
      <c r="M334" s="392" t="n"/>
      <c r="N334" s="392" t="n"/>
      <c r="O334" s="392" t="n"/>
      <c r="P334" s="392" t="n"/>
      <c r="Q334" s="392" t="n"/>
      <c r="R334" s="392" t="n"/>
      <c r="S334" s="392" t="n"/>
      <c r="T334" s="392" t="n"/>
      <c r="U334" s="392" t="n"/>
      <c r="V334" s="392" t="n"/>
      <c r="W334" s="392" t="n"/>
      <c r="X334" s="392" t="n"/>
      <c r="Y334" s="392" t="n"/>
      <c r="Z334" s="392" t="n"/>
      <c r="AA334" s="392" t="n"/>
      <c r="AB334" s="392" t="n"/>
      <c r="AC334" s="392" t="n"/>
      <c r="AD334" s="392" t="n"/>
      <c r="AE334" s="392" t="n"/>
      <c r="AF334" s="392" t="n"/>
      <c r="AG334" s="392" t="n"/>
      <c r="AH334" s="392" t="n"/>
      <c r="AI334" s="392" t="n"/>
      <c r="AJ334" s="392" t="n"/>
      <c r="AK334" s="392" t="n"/>
      <c r="AL334" s="392" t="n"/>
      <c r="AM334" s="392" t="n"/>
      <c r="AN334" s="392" t="n"/>
      <c r="AO334" s="392" t="n"/>
      <c r="AP334" s="392" t="n"/>
      <c r="AQ334" s="392" t="n"/>
      <c r="AR334" s="392" t="n"/>
      <c r="AS334" s="392" t="n"/>
      <c r="AT334" s="392" t="n"/>
      <c r="AU334" s="392" t="n"/>
      <c r="AV334" s="392" t="n"/>
      <c r="AW334" s="392" t="n"/>
      <c r="AX334" s="392" t="n"/>
      <c r="AY334" s="392" t="n"/>
      <c r="AZ334" s="392" t="n"/>
      <c r="BA334" s="392" t="n"/>
      <c r="BB334" s="392" t="n"/>
      <c r="BC334" s="392" t="n"/>
      <c r="BD334" s="392" t="n"/>
      <c r="BE334" s="392" t="n"/>
      <c r="BF334" s="392" t="n"/>
      <c r="BG334" s="392" t="n"/>
      <c r="BH334" s="392" t="n"/>
      <c r="BI334" s="392" t="n"/>
      <c r="BJ334" s="392" t="n"/>
      <c r="BK334" s="392" t="n"/>
      <c r="BL334" s="392" t="n"/>
      <c r="BM334" s="392" t="n"/>
      <c r="BN334" s="392" t="n"/>
      <c r="BO334" s="392" t="n"/>
      <c r="BP334" s="392" t="n"/>
      <c r="BQ334" s="392" t="n"/>
      <c r="BR334" s="392" t="n"/>
      <c r="BS334" s="392" t="n"/>
      <c r="BT334" s="392" t="n"/>
      <c r="BU334" s="392" t="n"/>
      <c r="BV334" s="392" t="n"/>
      <c r="BW334" s="392" t="n"/>
      <c r="BX334" s="392" t="n"/>
      <c r="BY334" s="392" t="n"/>
      <c r="BZ334" s="392" t="n"/>
      <c r="CA334" s="392" t="n"/>
      <c r="CB334" s="392" t="n"/>
      <c r="CC334" s="392" t="n"/>
      <c r="CD334" s="392" t="n"/>
      <c r="CE334" s="392" t="n"/>
      <c r="CF334" s="392" t="n"/>
      <c r="CG334" s="392" t="n"/>
      <c r="CH334" s="392" t="n"/>
      <c r="CI334" s="392" t="n"/>
      <c r="CJ334" s="392" t="n"/>
      <c r="CK334" s="392" t="n"/>
      <c r="CL334" s="392" t="n"/>
      <c r="CM334" s="392" t="n"/>
      <c r="CN334" s="392" t="n"/>
      <c r="CO334" s="392" t="n"/>
      <c r="CP334" s="392" t="n"/>
      <c r="CQ334" s="392" t="n"/>
      <c r="CR334" s="392" t="n"/>
      <c r="CS334" s="392" t="n"/>
      <c r="CT334" s="392" t="n"/>
      <c r="CU334" s="392" t="n"/>
      <c r="CV334" s="392" t="n"/>
      <c r="CW334" s="392" t="n"/>
      <c r="CX334" s="392" t="n"/>
      <c r="CY334" s="392" t="n"/>
      <c r="CZ334" s="392" t="n"/>
      <c r="DA334" s="392" t="n"/>
      <c r="DB334" s="392" t="n"/>
      <c r="DC334" s="392" t="n"/>
      <c r="DD334" s="392" t="n"/>
      <c r="DE334" s="392" t="n"/>
    </row>
    <row r="335" ht="15" customHeight="1" s="410">
      <c r="A335" s="397" t="inlineStr">
        <is>
          <t>Forecast variance — prior pack less actual</t>
        </is>
      </c>
      <c r="B335" s="392">
        <f>IF(OR(B330="",B334=""),"",B334-B330)</f>
        <v/>
      </c>
      <c r="C335" s="392">
        <f>IF(OR(C330="",C334=""),"",C334-C330)</f>
        <v/>
      </c>
      <c r="D335" s="392">
        <f>IF(OR(D330="",D334=""),"",D334-D330)</f>
        <v/>
      </c>
      <c r="E335" s="392">
        <f>IF(OR(E330="",E334=""),"",E334-E330)</f>
        <v/>
      </c>
      <c r="F335" s="392">
        <f>IF(OR(F330="",F334=""),"",F334-F330)</f>
        <v/>
      </c>
      <c r="G335" s="392">
        <f>IF(OR(G330="",G334=""),"",G334-G330)</f>
        <v/>
      </c>
      <c r="H335" s="392">
        <f>IF(OR(H330="",H334=""),"",H334-H330)</f>
        <v/>
      </c>
      <c r="I335" s="392">
        <f>IF(OR(I330="",I334=""),"",I334-I330)</f>
        <v/>
      </c>
      <c r="J335" s="392">
        <f>IF(OR(J330="",J334=""),"",J334-J330)</f>
        <v/>
      </c>
      <c r="K335" s="392">
        <f>IF(OR(K330="",K334=""),"",K334-K330)</f>
        <v/>
      </c>
      <c r="L335" s="392">
        <f>IF(OR(L330="",L334=""),"",L334-L330)</f>
        <v/>
      </c>
      <c r="M335" s="392">
        <f>IF(OR(M330="",M334=""),"",M334-M330)</f>
        <v/>
      </c>
      <c r="N335" s="392">
        <f>IF(OR(N330="",N334=""),"",N334-N330)</f>
        <v/>
      </c>
      <c r="O335" s="392">
        <f>IF(OR(O330="",O334=""),"",O334-O330)</f>
        <v/>
      </c>
      <c r="P335" s="392">
        <f>IF(OR(P330="",P334=""),"",P334-P330)</f>
        <v/>
      </c>
      <c r="Q335" s="392">
        <f>IF(OR(Q330="",Q334=""),"",Q334-Q330)</f>
        <v/>
      </c>
      <c r="R335" s="392">
        <f>IF(OR(R330="",R334=""),"",R334-R330)</f>
        <v/>
      </c>
      <c r="S335" s="392">
        <f>IF(OR(S330="",S334=""),"",S334-S330)</f>
        <v/>
      </c>
      <c r="T335" s="392">
        <f>IF(OR(T330="",T334=""),"",T334-T330)</f>
        <v/>
      </c>
      <c r="U335" s="392">
        <f>IF(OR(U330="",U334=""),"",U334-U330)</f>
        <v/>
      </c>
      <c r="V335" s="392">
        <f>IF(OR(V330="",V334=""),"",V334-V330)</f>
        <v/>
      </c>
      <c r="W335" s="392">
        <f>IF(OR(W330="",W334=""),"",W334-W330)</f>
        <v/>
      </c>
      <c r="X335" s="392">
        <f>IF(OR(X330="",X334=""),"",X334-X330)</f>
        <v/>
      </c>
      <c r="Y335" s="392">
        <f>IF(OR(Y330="",Y334=""),"",Y334-Y330)</f>
        <v/>
      </c>
      <c r="Z335" s="392">
        <f>IF(OR(Z330="",Z334=""),"",Z334-Z330)</f>
        <v/>
      </c>
      <c r="AA335" s="392">
        <f>IF(OR(AA330="",AA334=""),"",AA334-AA330)</f>
        <v/>
      </c>
      <c r="AB335" s="392">
        <f>IF(OR(AB330="",AB334=""),"",AB334-AB330)</f>
        <v/>
      </c>
      <c r="AC335" s="392">
        <f>IF(OR(AC330="",AC334=""),"",AC334-AC330)</f>
        <v/>
      </c>
      <c r="AD335" s="392">
        <f>IF(OR(AD330="",AD334=""),"",AD334-AD330)</f>
        <v/>
      </c>
      <c r="AE335" s="392">
        <f>IF(OR(AE330="",AE334=""),"",AE334-AE330)</f>
        <v/>
      </c>
      <c r="AF335" s="392">
        <f>IF(OR(AF330="",AF334=""),"",AF334-AF330)</f>
        <v/>
      </c>
      <c r="AG335" s="392">
        <f>IF(OR(AG330="",AG334=""),"",AG334-AG330)</f>
        <v/>
      </c>
      <c r="AH335" s="392">
        <f>IF(OR(AH330="",AH334=""),"",AH334-AH330)</f>
        <v/>
      </c>
      <c r="AI335" s="392">
        <f>IF(OR(AI330="",AI334=""),"",AI334-AI330)</f>
        <v/>
      </c>
      <c r="AJ335" s="392">
        <f>IF(OR(AJ330="",AJ334=""),"",AJ334-AJ330)</f>
        <v/>
      </c>
      <c r="AK335" s="392">
        <f>IF(OR(AK330="",AK334=""),"",AK334-AK330)</f>
        <v/>
      </c>
      <c r="AL335" s="392">
        <f>IF(OR(AL330="",AL334=""),"",AL334-AL330)</f>
        <v/>
      </c>
      <c r="AM335" s="392">
        <f>IF(OR(AM330="",AM334=""),"",AM334-AM330)</f>
        <v/>
      </c>
      <c r="AN335" s="392">
        <f>IF(OR(AN330="",AN334=""),"",AN334-AN330)</f>
        <v/>
      </c>
      <c r="AO335" s="392">
        <f>IF(OR(AO330="",AO334=""),"",AO334-AO330)</f>
        <v/>
      </c>
      <c r="AP335" s="392">
        <f>IF(OR(AP330="",AP334=""),"",AP334-AP330)</f>
        <v/>
      </c>
      <c r="AQ335" s="392">
        <f>IF(OR(AQ330="",AQ334=""),"",AQ334-AQ330)</f>
        <v/>
      </c>
      <c r="AR335" s="392">
        <f>IF(OR(AR330="",AR334=""),"",AR334-AR330)</f>
        <v/>
      </c>
      <c r="AS335" s="392">
        <f>IF(OR(AS330="",AS334=""),"",AS334-AS330)</f>
        <v/>
      </c>
      <c r="AT335" s="392">
        <f>IF(OR(AT330="",AT334=""),"",AT334-AT330)</f>
        <v/>
      </c>
      <c r="AU335" s="392">
        <f>IF(OR(AU330="",AU334=""),"",AU334-AU330)</f>
        <v/>
      </c>
      <c r="AV335" s="392">
        <f>IF(OR(AV330="",AV334=""),"",AV334-AV330)</f>
        <v/>
      </c>
      <c r="AW335" s="392">
        <f>IF(OR(AW330="",AW334=""),"",AW334-AW330)</f>
        <v/>
      </c>
      <c r="AX335" s="392">
        <f>IF(OR(AX330="",AX334=""),"",AX334-AX330)</f>
        <v/>
      </c>
      <c r="AY335" s="392">
        <f>IF(OR(AY330="",AY334=""),"",AY334-AY330)</f>
        <v/>
      </c>
      <c r="AZ335" s="392">
        <f>IF(OR(AZ330="",AZ334=""),"",AZ334-AZ330)</f>
        <v/>
      </c>
      <c r="BA335" s="392">
        <f>IF(OR(BA330="",BA334=""),"",BA334-BA330)</f>
        <v/>
      </c>
      <c r="BB335" s="392">
        <f>IF(OR(BB330="",BB334=""),"",BB334-BB330)</f>
        <v/>
      </c>
      <c r="BC335" s="392">
        <f>IF(OR(BC330="",BC334=""),"",BC334-BC330)</f>
        <v/>
      </c>
      <c r="BD335" s="392">
        <f>IF(OR(BD330="",BD334=""),"",BD334-BD330)</f>
        <v/>
      </c>
      <c r="BE335" s="392">
        <f>IF(OR(BE330="",BE334=""),"",BE334-BE330)</f>
        <v/>
      </c>
      <c r="BF335" s="392">
        <f>IF(OR(BF330="",BF334=""),"",BF334-BF330)</f>
        <v/>
      </c>
      <c r="BG335" s="392">
        <f>IF(OR(BG330="",BG334=""),"",BG334-BG330)</f>
        <v/>
      </c>
      <c r="BH335" s="392">
        <f>IF(OR(BH330="",BH334=""),"",BH334-BH330)</f>
        <v/>
      </c>
      <c r="BI335" s="392">
        <f>IF(OR(BI330="",BI334=""),"",BI334-BI330)</f>
        <v/>
      </c>
      <c r="BJ335" s="392">
        <f>IF(OR(BJ330="",BJ334=""),"",BJ334-BJ330)</f>
        <v/>
      </c>
      <c r="BK335" s="392">
        <f>IF(OR(BK330="",BK334=""),"",BK334-BK330)</f>
        <v/>
      </c>
      <c r="BL335" s="392">
        <f>IF(OR(BL330="",BL334=""),"",BL334-BL330)</f>
        <v/>
      </c>
      <c r="BM335" s="392">
        <f>IF(OR(BM330="",BM334=""),"",BM334-BM330)</f>
        <v/>
      </c>
      <c r="BN335" s="392">
        <f>IF(OR(BN330="",BN334=""),"",BN334-BN330)</f>
        <v/>
      </c>
      <c r="BO335" s="392">
        <f>IF(OR(BO330="",BO334=""),"",BO334-BO330)</f>
        <v/>
      </c>
      <c r="BP335" s="392">
        <f>IF(OR(BP330="",BP334=""),"",BP334-BP330)</f>
        <v/>
      </c>
      <c r="BQ335" s="392">
        <f>IF(OR(BQ330="",BQ334=""),"",BQ334-BQ330)</f>
        <v/>
      </c>
      <c r="BR335" s="392">
        <f>IF(OR(BR330="",BR334=""),"",BR334-BR330)</f>
        <v/>
      </c>
      <c r="BS335" s="392">
        <f>IF(OR(BS330="",BS334=""),"",BS334-BS330)</f>
        <v/>
      </c>
      <c r="BT335" s="392">
        <f>IF(OR(BT330="",BT334=""),"",BT334-BT330)</f>
        <v/>
      </c>
      <c r="BU335" s="392">
        <f>IF(OR(BU330="",BU334=""),"",BU334-BU330)</f>
        <v/>
      </c>
      <c r="BV335" s="392">
        <f>IF(OR(BV330="",BV334=""),"",BV334-BV330)</f>
        <v/>
      </c>
      <c r="BW335" s="392">
        <f>IF(OR(BW330="",BW334=""),"",BW334-BW330)</f>
        <v/>
      </c>
      <c r="BX335" s="392">
        <f>IF(OR(BX330="",BX334=""),"",BX334-BX330)</f>
        <v/>
      </c>
      <c r="BY335" s="392">
        <f>IF(OR(BY330="",BY334=""),"",BY334-BY330)</f>
        <v/>
      </c>
      <c r="BZ335" s="392">
        <f>IF(OR(BZ330="",BZ334=""),"",BZ334-BZ330)</f>
        <v/>
      </c>
      <c r="CA335" s="392">
        <f>IF(OR(CA330="",CA334=""),"",CA334-CA330)</f>
        <v/>
      </c>
      <c r="CB335" s="392">
        <f>IF(OR(CB330="",CB334=""),"",CB334-CB330)</f>
        <v/>
      </c>
      <c r="CC335" s="392">
        <f>IF(OR(CC330="",CC334=""),"",CC334-CC330)</f>
        <v/>
      </c>
      <c r="CD335" s="392">
        <f>IF(OR(CD330="",CD334=""),"",CD334-CD330)</f>
        <v/>
      </c>
      <c r="CE335" s="392">
        <f>IF(OR(CE330="",CE334=""),"",CE334-CE330)</f>
        <v/>
      </c>
      <c r="CF335" s="392">
        <f>IF(OR(CF330="",CF334=""),"",CF334-CF330)</f>
        <v/>
      </c>
      <c r="CG335" s="392">
        <f>IF(OR(CG330="",CG334=""),"",CG334-CG330)</f>
        <v/>
      </c>
      <c r="CH335" s="392">
        <f>IF(OR(CH330="",CH334=""),"",CH334-CH330)</f>
        <v/>
      </c>
      <c r="CI335" s="392">
        <f>IF(OR(CI330="",CI334=""),"",CI334-CI330)</f>
        <v/>
      </c>
      <c r="CJ335" s="392">
        <f>IF(OR(CJ330="",CJ334=""),"",CJ334-CJ330)</f>
        <v/>
      </c>
      <c r="CK335" s="392">
        <f>IF(OR(CK330="",CK334=""),"",CK334-CK330)</f>
        <v/>
      </c>
      <c r="CL335" s="392">
        <f>IF(OR(CL330="",CL334=""),"",CL334-CL330)</f>
        <v/>
      </c>
      <c r="CM335" s="392">
        <f>IF(OR(CM330="",CM334=""),"",CM334-CM330)</f>
        <v/>
      </c>
      <c r="CN335" s="392">
        <f>IF(OR(CN330="",CN334=""),"",CN334-CN330)</f>
        <v/>
      </c>
      <c r="CO335" s="392">
        <f>IF(OR(CO330="",CO334=""),"",CO334-CO330)</f>
        <v/>
      </c>
      <c r="CP335" s="392">
        <f>IF(OR(CP330="",CP334=""),"",CP334-CP330)</f>
        <v/>
      </c>
      <c r="CQ335" s="392">
        <f>IF(OR(CQ330="",CQ334=""),"",CQ334-CQ330)</f>
        <v/>
      </c>
      <c r="CR335" s="392">
        <f>IF(OR(CR330="",CR334=""),"",CR334-CR330)</f>
        <v/>
      </c>
      <c r="CS335" s="392">
        <f>IF(OR(CS330="",CS334=""),"",CS334-CS330)</f>
        <v/>
      </c>
      <c r="CT335" s="392">
        <f>IF(OR(CT330="",CT334=""),"",CT334-CT330)</f>
        <v/>
      </c>
      <c r="CU335" s="392">
        <f>IF(OR(CU330="",CU334=""),"",CU334-CU330)</f>
        <v/>
      </c>
      <c r="CV335" s="392">
        <f>IF(OR(CV330="",CV334=""),"",CV334-CV330)</f>
        <v/>
      </c>
      <c r="CW335" s="392">
        <f>IF(OR(CW330="",CW334=""),"",CW334-CW330)</f>
        <v/>
      </c>
      <c r="CX335" s="392">
        <f>IF(OR(CX330="",CX334=""),"",CX334-CX330)</f>
        <v/>
      </c>
      <c r="CY335" s="392">
        <f>IF(OR(CY330="",CY334=""),"",CY334-CY330)</f>
        <v/>
      </c>
      <c r="CZ335" s="392">
        <f>IF(OR(CZ330="",CZ334=""),"",CZ334-CZ330)</f>
        <v/>
      </c>
      <c r="DA335" s="392">
        <f>IF(OR(DA330="",DA334=""),"",DA334-DA330)</f>
        <v/>
      </c>
      <c r="DB335" s="392">
        <f>IF(OR(DB330="",DB334=""),"",DB334-DB330)</f>
        <v/>
      </c>
      <c r="DC335" s="392">
        <f>IF(OR(DC330="",DC334=""),"",DC334-DC330)</f>
        <v/>
      </c>
      <c r="DD335" s="392">
        <f>IF(OR(DD330="",DD334=""),"",DD334-DD330)</f>
        <v/>
      </c>
      <c r="DE335" s="392">
        <f>IF(OR(DE330="",DE334=""),"",DE334-DE330)</f>
        <v/>
      </c>
    </row>
    <row r="337" ht="15" customHeight="1" s="410">
      <c r="A337" s="402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5" customHeight="1" s="410">
      <c r="A338" s="450" t="inlineStr">
        <is>
          <t>Opening balances at 31-Dec-25 (packs' balance-forward columns) — column B holds the value</t>
        </is>
      </c>
      <c r="B338" s="392" t="n"/>
      <c r="C338" s="392" t="n"/>
      <c r="D338" s="392" t="n"/>
      <c r="E338" s="392" t="n"/>
      <c r="F338" s="392" t="n"/>
      <c r="G338" s="392" t="n"/>
      <c r="H338" s="392" t="n"/>
      <c r="I338" s="392" t="n"/>
      <c r="J338" s="392" t="n"/>
      <c r="K338" s="392" t="n"/>
      <c r="L338" s="392" t="n"/>
      <c r="M338" s="392" t="n"/>
      <c r="N338" s="392" t="n"/>
      <c r="O338" s="392" t="n"/>
      <c r="P338" s="392" t="n"/>
      <c r="Q338" s="392" t="n"/>
      <c r="R338" s="392" t="n"/>
      <c r="S338" s="392" t="n"/>
      <c r="T338" s="392" t="n"/>
      <c r="U338" s="392" t="n"/>
      <c r="V338" s="392" t="n"/>
      <c r="W338" s="392" t="n"/>
      <c r="X338" s="392" t="n"/>
      <c r="Y338" s="392" t="n"/>
      <c r="Z338" s="392" t="n"/>
      <c r="AA338" s="392" t="n"/>
      <c r="AB338" s="392" t="n"/>
      <c r="AC338" s="392" t="n"/>
      <c r="AD338" s="392" t="n"/>
      <c r="AE338" s="392" t="n"/>
      <c r="AF338" s="392" t="n"/>
      <c r="AG338" s="392" t="n"/>
      <c r="AH338" s="392" t="n"/>
      <c r="AI338" s="392" t="n"/>
      <c r="AJ338" s="392" t="n"/>
      <c r="AK338" s="392" t="n"/>
      <c r="AL338" s="392" t="n"/>
      <c r="AM338" s="392" t="n"/>
      <c r="AN338" s="392" t="n"/>
      <c r="AO338" s="392" t="n"/>
      <c r="AP338" s="392" t="n"/>
      <c r="AQ338" s="392" t="n"/>
      <c r="AR338" s="392" t="n"/>
      <c r="AS338" s="392" t="n"/>
      <c r="AT338" s="392" t="n"/>
      <c r="AU338" s="392" t="n"/>
      <c r="AV338" s="392" t="n"/>
      <c r="AW338" s="392" t="n"/>
      <c r="AX338" s="392" t="n"/>
      <c r="AY338" s="392" t="n"/>
      <c r="AZ338" s="392" t="n"/>
      <c r="BA338" s="392" t="n"/>
      <c r="BB338" s="392" t="n"/>
      <c r="BC338" s="392" t="n"/>
      <c r="BD338" s="392" t="n"/>
      <c r="BE338" s="392" t="n"/>
      <c r="BF338" s="392" t="n"/>
      <c r="BG338" s="392" t="n"/>
      <c r="BH338" s="392" t="n"/>
      <c r="BI338" s="392" t="n"/>
      <c r="BJ338" s="392" t="n"/>
      <c r="BK338" s="392" t="n"/>
      <c r="BL338" s="392" t="n"/>
      <c r="BM338" s="392" t="n"/>
      <c r="BN338" s="392" t="n"/>
      <c r="BO338" s="392" t="n"/>
      <c r="BP338" s="392" t="n"/>
      <c r="BQ338" s="392" t="n"/>
      <c r="BR338" s="392" t="n"/>
      <c r="BS338" s="392" t="n"/>
      <c r="BT338" s="392" t="n"/>
      <c r="BU338" s="392" t="n"/>
      <c r="BV338" s="392" t="n"/>
      <c r="BW338" s="392" t="n"/>
      <c r="BX338" s="392" t="n"/>
      <c r="BY338" s="392" t="n"/>
      <c r="BZ338" s="392" t="n"/>
      <c r="CA338" s="392" t="n"/>
      <c r="CB338" s="392" t="n"/>
      <c r="CC338" s="392" t="n"/>
      <c r="CD338" s="392" t="n"/>
      <c r="CE338" s="392" t="n"/>
      <c r="CF338" s="392" t="n"/>
      <c r="CG338" s="392" t="n"/>
      <c r="CH338" s="392" t="n"/>
      <c r="CI338" s="392" t="n"/>
      <c r="CJ338" s="392" t="n"/>
      <c r="CK338" s="392" t="n"/>
      <c r="CL338" s="392" t="n"/>
      <c r="CM338" s="392" t="n"/>
      <c r="CN338" s="392" t="n"/>
      <c r="CO338" s="392" t="n"/>
      <c r="CP338" s="392" t="n"/>
      <c r="CQ338" s="392" t="n"/>
      <c r="CR338" s="392" t="n"/>
      <c r="CS338" s="392" t="n"/>
      <c r="CT338" s="392" t="n"/>
      <c r="CU338" s="392" t="n"/>
      <c r="CV338" s="392" t="n"/>
      <c r="CW338" s="392" t="n"/>
      <c r="CX338" s="392" t="n"/>
      <c r="CY338" s="392" t="n"/>
      <c r="CZ338" s="392" t="n"/>
      <c r="DA338" s="392" t="n"/>
      <c r="DB338" s="392" t="n"/>
      <c r="DC338" s="392" t="n"/>
      <c r="DD338" s="392" t="n"/>
      <c r="DE338" s="392" t="n"/>
    </row>
    <row r="339" ht="15" customHeight="1" s="410">
      <c r="A339" s="397" t="inlineStr">
        <is>
          <t xml:space="preserve">     LV cash</t>
        </is>
      </c>
      <c r="B339" s="453" t="n">
        <v>489587</v>
      </c>
      <c r="C339" s="392" t="n"/>
      <c r="D339" s="392" t="n"/>
      <c r="E339" s="392" t="n"/>
      <c r="F339" s="392" t="n"/>
      <c r="G339" s="392" t="n"/>
      <c r="H339" s="392" t="n"/>
      <c r="I339" s="392" t="n"/>
      <c r="J339" s="392" t="n"/>
      <c r="K339" s="392" t="n"/>
      <c r="L339" s="392" t="n"/>
      <c r="M339" s="392" t="n"/>
      <c r="N339" s="392" t="n"/>
      <c r="O339" s="392" t="n"/>
      <c r="P339" s="392" t="n"/>
      <c r="Q339" s="392" t="n"/>
      <c r="R339" s="392" t="n"/>
      <c r="S339" s="392" t="n"/>
      <c r="T339" s="392" t="n"/>
      <c r="U339" s="392" t="n"/>
      <c r="V339" s="392" t="n"/>
      <c r="W339" s="392" t="n"/>
      <c r="X339" s="392" t="n"/>
      <c r="Y339" s="392" t="n"/>
      <c r="Z339" s="392" t="n"/>
      <c r="AA339" s="392" t="n"/>
      <c r="AB339" s="392" t="n"/>
      <c r="AC339" s="392" t="n"/>
      <c r="AD339" s="392" t="n"/>
      <c r="AE339" s="392" t="n"/>
      <c r="AF339" s="392" t="n"/>
      <c r="AG339" s="392" t="n"/>
      <c r="AH339" s="392" t="n"/>
      <c r="AI339" s="392" t="n"/>
      <c r="AJ339" s="392" t="n"/>
      <c r="AK339" s="392" t="n"/>
      <c r="AL339" s="392" t="n"/>
      <c r="AM339" s="392" t="n"/>
      <c r="AN339" s="392" t="n"/>
      <c r="AO339" s="392" t="n"/>
      <c r="AP339" s="392" t="n"/>
      <c r="AQ339" s="392" t="n"/>
      <c r="AR339" s="392" t="n"/>
      <c r="AS339" s="392" t="n"/>
      <c r="AT339" s="392" t="n"/>
      <c r="AU339" s="392" t="n"/>
      <c r="AV339" s="392" t="n"/>
      <c r="AW339" s="392" t="n"/>
      <c r="AX339" s="392" t="n"/>
      <c r="AY339" s="392" t="n"/>
      <c r="AZ339" s="392" t="n"/>
      <c r="BA339" s="392" t="n"/>
      <c r="BB339" s="392" t="n"/>
      <c r="BC339" s="392" t="n"/>
      <c r="BD339" s="392" t="n"/>
      <c r="BE339" s="392" t="n"/>
      <c r="BF339" s="392" t="n"/>
      <c r="BG339" s="392" t="n"/>
      <c r="BH339" s="392" t="n"/>
      <c r="BI339" s="392" t="n"/>
      <c r="BJ339" s="392" t="n"/>
      <c r="BK339" s="392" t="n"/>
      <c r="BL339" s="392" t="n"/>
      <c r="BM339" s="392" t="n"/>
      <c r="BN339" s="392" t="n"/>
      <c r="BO339" s="392" t="n"/>
      <c r="BP339" s="392" t="n"/>
      <c r="BQ339" s="392" t="n"/>
      <c r="BR339" s="392" t="n"/>
      <c r="BS339" s="392" t="n"/>
      <c r="BT339" s="392" t="n"/>
      <c r="BU339" s="392" t="n"/>
      <c r="BV339" s="392" t="n"/>
      <c r="BW339" s="392" t="n"/>
      <c r="BX339" s="392" t="n"/>
      <c r="BY339" s="392" t="n"/>
      <c r="BZ339" s="392" t="n"/>
      <c r="CA339" s="392" t="n"/>
      <c r="CB339" s="392" t="n"/>
      <c r="CC339" s="392" t="n"/>
      <c r="CD339" s="392" t="n"/>
      <c r="CE339" s="392" t="n"/>
      <c r="CF339" s="392" t="n"/>
      <c r="CG339" s="392" t="n"/>
      <c r="CH339" s="392" t="n"/>
      <c r="CI339" s="392" t="n"/>
      <c r="CJ339" s="392" t="n"/>
      <c r="CK339" s="392" t="n"/>
      <c r="CL339" s="392" t="n"/>
      <c r="CM339" s="392" t="n"/>
      <c r="CN339" s="392" t="n"/>
      <c r="CO339" s="392" t="n"/>
      <c r="CP339" s="392" t="n"/>
      <c r="CQ339" s="392" t="n"/>
      <c r="CR339" s="392" t="n"/>
      <c r="CS339" s="392" t="n"/>
      <c r="CT339" s="392" t="n"/>
      <c r="CU339" s="392" t="n"/>
      <c r="CV339" s="392" t="n"/>
      <c r="CW339" s="392" t="n"/>
      <c r="CX339" s="392" t="n"/>
      <c r="CY339" s="392" t="n"/>
      <c r="CZ339" s="392" t="n"/>
      <c r="DA339" s="392" t="n"/>
      <c r="DB339" s="392" t="n"/>
      <c r="DC339" s="392" t="n"/>
      <c r="DD339" s="392" t="n"/>
      <c r="DE339" s="392" t="n"/>
    </row>
    <row r="340" ht="15" customHeight="1" s="410">
      <c r="A340" s="397" t="inlineStr">
        <is>
          <t xml:space="preserve">     LV receivables (AR + retention + other)</t>
        </is>
      </c>
      <c r="B340" s="453" t="n">
        <v>3526180</v>
      </c>
      <c r="C340" s="392" t="n"/>
      <c r="D340" s="392" t="n"/>
      <c r="E340" s="392" t="n"/>
      <c r="F340" s="392" t="n"/>
      <c r="G340" s="392" t="n"/>
      <c r="H340" s="392" t="n"/>
      <c r="I340" s="392" t="n"/>
      <c r="J340" s="392" t="n"/>
      <c r="K340" s="392" t="n"/>
      <c r="L340" s="392" t="n"/>
      <c r="M340" s="392" t="n"/>
      <c r="N340" s="392" t="n"/>
      <c r="O340" s="392" t="n"/>
      <c r="P340" s="392" t="n"/>
      <c r="Q340" s="392" t="n"/>
      <c r="R340" s="392" t="n"/>
      <c r="S340" s="392" t="n"/>
      <c r="T340" s="392" t="n"/>
      <c r="U340" s="392" t="n"/>
      <c r="V340" s="392" t="n"/>
      <c r="W340" s="392" t="n"/>
      <c r="X340" s="392" t="n"/>
      <c r="Y340" s="392" t="n"/>
      <c r="Z340" s="392" t="n"/>
      <c r="AA340" s="392" t="n"/>
      <c r="AB340" s="392" t="n"/>
      <c r="AC340" s="392" t="n"/>
      <c r="AD340" s="392" t="n"/>
      <c r="AE340" s="392" t="n"/>
      <c r="AF340" s="392" t="n"/>
      <c r="AG340" s="392" t="n"/>
      <c r="AH340" s="392" t="n"/>
      <c r="AI340" s="392" t="n"/>
      <c r="AJ340" s="392" t="n"/>
      <c r="AK340" s="392" t="n"/>
      <c r="AL340" s="392" t="n"/>
      <c r="AM340" s="392" t="n"/>
      <c r="AN340" s="392" t="n"/>
      <c r="AO340" s="392" t="n"/>
      <c r="AP340" s="392" t="n"/>
      <c r="AQ340" s="392" t="n"/>
      <c r="AR340" s="392" t="n"/>
      <c r="AS340" s="392" t="n"/>
      <c r="AT340" s="392" t="n"/>
      <c r="AU340" s="392" t="n"/>
      <c r="AV340" s="392" t="n"/>
      <c r="AW340" s="392" t="n"/>
      <c r="AX340" s="392" t="n"/>
      <c r="AY340" s="392" t="n"/>
      <c r="AZ340" s="392" t="n"/>
      <c r="BA340" s="392" t="n"/>
      <c r="BB340" s="392" t="n"/>
      <c r="BC340" s="392" t="n"/>
      <c r="BD340" s="392" t="n"/>
      <c r="BE340" s="392" t="n"/>
      <c r="BF340" s="392" t="n"/>
      <c r="BG340" s="392" t="n"/>
      <c r="BH340" s="392" t="n"/>
      <c r="BI340" s="392" t="n"/>
      <c r="BJ340" s="392" t="n"/>
      <c r="BK340" s="392" t="n"/>
      <c r="BL340" s="392" t="n"/>
      <c r="BM340" s="392" t="n"/>
      <c r="BN340" s="392" t="n"/>
      <c r="BO340" s="392" t="n"/>
      <c r="BP340" s="392" t="n"/>
      <c r="BQ340" s="392" t="n"/>
      <c r="BR340" s="392" t="n"/>
      <c r="BS340" s="392" t="n"/>
      <c r="BT340" s="392" t="n"/>
      <c r="BU340" s="392" t="n"/>
      <c r="BV340" s="392" t="n"/>
      <c r="BW340" s="392" t="n"/>
      <c r="BX340" s="392" t="n"/>
      <c r="BY340" s="392" t="n"/>
      <c r="BZ340" s="392" t="n"/>
      <c r="CA340" s="392" t="n"/>
      <c r="CB340" s="392" t="n"/>
      <c r="CC340" s="392" t="n"/>
      <c r="CD340" s="392" t="n"/>
      <c r="CE340" s="392" t="n"/>
      <c r="CF340" s="392" t="n"/>
      <c r="CG340" s="392" t="n"/>
      <c r="CH340" s="392" t="n"/>
      <c r="CI340" s="392" t="n"/>
      <c r="CJ340" s="392" t="n"/>
      <c r="CK340" s="392" t="n"/>
      <c r="CL340" s="392" t="n"/>
      <c r="CM340" s="392" t="n"/>
      <c r="CN340" s="392" t="n"/>
      <c r="CO340" s="392" t="n"/>
      <c r="CP340" s="392" t="n"/>
      <c r="CQ340" s="392" t="n"/>
      <c r="CR340" s="392" t="n"/>
      <c r="CS340" s="392" t="n"/>
      <c r="CT340" s="392" t="n"/>
      <c r="CU340" s="392" t="n"/>
      <c r="CV340" s="392" t="n"/>
      <c r="CW340" s="392" t="n"/>
      <c r="CX340" s="392" t="n"/>
      <c r="CY340" s="392" t="n"/>
      <c r="CZ340" s="392" t="n"/>
      <c r="DA340" s="392" t="n"/>
      <c r="DB340" s="392" t="n"/>
      <c r="DC340" s="392" t="n"/>
      <c r="DD340" s="392" t="n"/>
      <c r="DE340" s="392" t="n"/>
    </row>
    <row r="341" ht="15" customHeight="1" s="410">
      <c r="A341" s="397" t="inlineStr">
        <is>
          <t xml:space="preserve">     LV payables (AP &amp; accrued incl. due to Six Peak + retention payable)</t>
        </is>
      </c>
      <c r="B341" s="453" t="n">
        <v>4378580</v>
      </c>
      <c r="C341" s="392" t="n"/>
      <c r="D341" s="392" t="n"/>
      <c r="E341" s="392" t="n"/>
      <c r="F341" s="392" t="n"/>
      <c r="G341" s="392" t="n"/>
      <c r="H341" s="392" t="n"/>
      <c r="I341" s="392" t="n"/>
      <c r="J341" s="392" t="n"/>
      <c r="K341" s="392" t="n"/>
      <c r="L341" s="392" t="n"/>
      <c r="M341" s="392" t="n"/>
      <c r="N341" s="392" t="n"/>
      <c r="O341" s="392" t="n"/>
      <c r="P341" s="392" t="n"/>
      <c r="Q341" s="392" t="n"/>
      <c r="R341" s="392" t="n"/>
      <c r="S341" s="392" t="n"/>
      <c r="T341" s="392" t="n"/>
      <c r="U341" s="392" t="n"/>
      <c r="V341" s="392" t="n"/>
      <c r="W341" s="392" t="n"/>
      <c r="X341" s="392" t="n"/>
      <c r="Y341" s="392" t="n"/>
      <c r="Z341" s="392" t="n"/>
      <c r="AA341" s="392" t="n"/>
      <c r="AB341" s="392" t="n"/>
      <c r="AC341" s="392" t="n"/>
      <c r="AD341" s="392" t="n"/>
      <c r="AE341" s="392" t="n"/>
      <c r="AF341" s="392" t="n"/>
      <c r="AG341" s="392" t="n"/>
      <c r="AH341" s="392" t="n"/>
      <c r="AI341" s="392" t="n"/>
      <c r="AJ341" s="392" t="n"/>
      <c r="AK341" s="392" t="n"/>
      <c r="AL341" s="392" t="n"/>
      <c r="AM341" s="392" t="n"/>
      <c r="AN341" s="392" t="n"/>
      <c r="AO341" s="392" t="n"/>
      <c r="AP341" s="392" t="n"/>
      <c r="AQ341" s="392" t="n"/>
      <c r="AR341" s="392" t="n"/>
      <c r="AS341" s="392" t="n"/>
      <c r="AT341" s="392" t="n"/>
      <c r="AU341" s="392" t="n"/>
      <c r="AV341" s="392" t="n"/>
      <c r="AW341" s="392" t="n"/>
      <c r="AX341" s="392" t="n"/>
      <c r="AY341" s="392" t="n"/>
      <c r="AZ341" s="392" t="n"/>
      <c r="BA341" s="392" t="n"/>
      <c r="BB341" s="392" t="n"/>
      <c r="BC341" s="392" t="n"/>
      <c r="BD341" s="392" t="n"/>
      <c r="BE341" s="392" t="n"/>
      <c r="BF341" s="392" t="n"/>
      <c r="BG341" s="392" t="n"/>
      <c r="BH341" s="392" t="n"/>
      <c r="BI341" s="392" t="n"/>
      <c r="BJ341" s="392" t="n"/>
      <c r="BK341" s="392" t="n"/>
      <c r="BL341" s="392" t="n"/>
      <c r="BM341" s="392" t="n"/>
      <c r="BN341" s="392" t="n"/>
      <c r="BO341" s="392" t="n"/>
      <c r="BP341" s="392" t="n"/>
      <c r="BQ341" s="392" t="n"/>
      <c r="BR341" s="392" t="n"/>
      <c r="BS341" s="392" t="n"/>
      <c r="BT341" s="392" t="n"/>
      <c r="BU341" s="392" t="n"/>
      <c r="BV341" s="392" t="n"/>
      <c r="BW341" s="392" t="n"/>
      <c r="BX341" s="392" t="n"/>
      <c r="BY341" s="392" t="n"/>
      <c r="BZ341" s="392" t="n"/>
      <c r="CA341" s="392" t="n"/>
      <c r="CB341" s="392" t="n"/>
      <c r="CC341" s="392" t="n"/>
      <c r="CD341" s="392" t="n"/>
      <c r="CE341" s="392" t="n"/>
      <c r="CF341" s="392" t="n"/>
      <c r="CG341" s="392" t="n"/>
      <c r="CH341" s="392" t="n"/>
      <c r="CI341" s="392" t="n"/>
      <c r="CJ341" s="392" t="n"/>
      <c r="CK341" s="392" t="n"/>
      <c r="CL341" s="392" t="n"/>
      <c r="CM341" s="392" t="n"/>
      <c r="CN341" s="392" t="n"/>
      <c r="CO341" s="392" t="n"/>
      <c r="CP341" s="392" t="n"/>
      <c r="CQ341" s="392" t="n"/>
      <c r="CR341" s="392" t="n"/>
      <c r="CS341" s="392" t="n"/>
      <c r="CT341" s="392" t="n"/>
      <c r="CU341" s="392" t="n"/>
      <c r="CV341" s="392" t="n"/>
      <c r="CW341" s="392" t="n"/>
      <c r="CX341" s="392" t="n"/>
      <c r="CY341" s="392" t="n"/>
      <c r="CZ341" s="392" t="n"/>
      <c r="DA341" s="392" t="n"/>
      <c r="DB341" s="392" t="n"/>
      <c r="DC341" s="392" t="n"/>
      <c r="DD341" s="392" t="n"/>
      <c r="DE341" s="392" t="n"/>
    </row>
    <row r="342" ht="15" customHeight="1" s="410">
      <c r="A342" s="397" t="inlineStr">
        <is>
          <t xml:space="preserve">     Six Peak cash</t>
        </is>
      </c>
      <c r="B342" s="453" t="n">
        <v>146586</v>
      </c>
      <c r="C342" s="392" t="n"/>
      <c r="D342" s="392" t="n"/>
      <c r="E342" s="392" t="n"/>
      <c r="F342" s="392" t="n"/>
      <c r="G342" s="392" t="n"/>
      <c r="H342" s="392" t="n"/>
      <c r="I342" s="392" t="n"/>
      <c r="J342" s="392" t="n"/>
      <c r="K342" s="392" t="n"/>
      <c r="L342" s="392" t="n"/>
      <c r="M342" s="392" t="n"/>
      <c r="N342" s="392" t="n"/>
      <c r="O342" s="392" t="n"/>
      <c r="P342" s="392" t="n"/>
      <c r="Q342" s="392" t="n"/>
      <c r="R342" s="392" t="n"/>
      <c r="S342" s="392" t="n"/>
      <c r="T342" s="392" t="n"/>
      <c r="U342" s="392" t="n"/>
      <c r="V342" s="392" t="n"/>
      <c r="W342" s="392" t="n"/>
      <c r="X342" s="392" t="n"/>
      <c r="Y342" s="392" t="n"/>
      <c r="Z342" s="392" t="n"/>
      <c r="AA342" s="392" t="n"/>
      <c r="AB342" s="392" t="n"/>
      <c r="AC342" s="392" t="n"/>
      <c r="AD342" s="392" t="n"/>
      <c r="AE342" s="392" t="n"/>
      <c r="AF342" s="392" t="n"/>
      <c r="AG342" s="392" t="n"/>
      <c r="AH342" s="392" t="n"/>
      <c r="AI342" s="392" t="n"/>
      <c r="AJ342" s="392" t="n"/>
      <c r="AK342" s="392" t="n"/>
      <c r="AL342" s="392" t="n"/>
      <c r="AM342" s="392" t="n"/>
      <c r="AN342" s="392" t="n"/>
      <c r="AO342" s="392" t="n"/>
      <c r="AP342" s="392" t="n"/>
      <c r="AQ342" s="392" t="n"/>
      <c r="AR342" s="392" t="n"/>
      <c r="AS342" s="392" t="n"/>
      <c r="AT342" s="392" t="n"/>
      <c r="AU342" s="392" t="n"/>
      <c r="AV342" s="392" t="n"/>
      <c r="AW342" s="392" t="n"/>
      <c r="AX342" s="392" t="n"/>
      <c r="AY342" s="392" t="n"/>
      <c r="AZ342" s="392" t="n"/>
      <c r="BA342" s="392" t="n"/>
      <c r="BB342" s="392" t="n"/>
      <c r="BC342" s="392" t="n"/>
      <c r="BD342" s="392" t="n"/>
      <c r="BE342" s="392" t="n"/>
      <c r="BF342" s="392" t="n"/>
      <c r="BG342" s="392" t="n"/>
      <c r="BH342" s="392" t="n"/>
      <c r="BI342" s="392" t="n"/>
      <c r="BJ342" s="392" t="n"/>
      <c r="BK342" s="392" t="n"/>
      <c r="BL342" s="392" t="n"/>
      <c r="BM342" s="392" t="n"/>
      <c r="BN342" s="392" t="n"/>
      <c r="BO342" s="392" t="n"/>
      <c r="BP342" s="392" t="n"/>
      <c r="BQ342" s="392" t="n"/>
      <c r="BR342" s="392" t="n"/>
      <c r="BS342" s="392" t="n"/>
      <c r="BT342" s="392" t="n"/>
      <c r="BU342" s="392" t="n"/>
      <c r="BV342" s="392" t="n"/>
      <c r="BW342" s="392" t="n"/>
      <c r="BX342" s="392" t="n"/>
      <c r="BY342" s="392" t="n"/>
      <c r="BZ342" s="392" t="n"/>
      <c r="CA342" s="392" t="n"/>
      <c r="CB342" s="392" t="n"/>
      <c r="CC342" s="392" t="n"/>
      <c r="CD342" s="392" t="n"/>
      <c r="CE342" s="392" t="n"/>
      <c r="CF342" s="392" t="n"/>
      <c r="CG342" s="392" t="n"/>
      <c r="CH342" s="392" t="n"/>
      <c r="CI342" s="392" t="n"/>
      <c r="CJ342" s="392" t="n"/>
      <c r="CK342" s="392" t="n"/>
      <c r="CL342" s="392" t="n"/>
      <c r="CM342" s="392" t="n"/>
      <c r="CN342" s="392" t="n"/>
      <c r="CO342" s="392" t="n"/>
      <c r="CP342" s="392" t="n"/>
      <c r="CQ342" s="392" t="n"/>
      <c r="CR342" s="392" t="n"/>
      <c r="CS342" s="392" t="n"/>
      <c r="CT342" s="392" t="n"/>
      <c r="CU342" s="392" t="n"/>
      <c r="CV342" s="392" t="n"/>
      <c r="CW342" s="392" t="n"/>
      <c r="CX342" s="392" t="n"/>
      <c r="CY342" s="392" t="n"/>
      <c r="CZ342" s="392" t="n"/>
      <c r="DA342" s="392" t="n"/>
      <c r="DB342" s="392" t="n"/>
      <c r="DC342" s="392" t="n"/>
      <c r="DD342" s="392" t="n"/>
      <c r="DE342" s="392" t="n"/>
    </row>
    <row r="343" ht="15" customHeight="1" s="410">
      <c r="A343" s="397" t="inlineStr">
        <is>
          <t xml:space="preserve">     Six Peak due from affiliates</t>
        </is>
      </c>
      <c r="B343" s="453" t="n">
        <v>1237504</v>
      </c>
      <c r="C343" s="392" t="n"/>
      <c r="D343" s="392" t="n"/>
      <c r="E343" s="392" t="n"/>
      <c r="F343" s="392" t="n"/>
      <c r="G343" s="392" t="n"/>
      <c r="H343" s="392" t="n"/>
      <c r="I343" s="392" t="n"/>
      <c r="J343" s="392" t="n"/>
      <c r="K343" s="392" t="n"/>
      <c r="L343" s="392" t="n"/>
      <c r="M343" s="392" t="n"/>
      <c r="N343" s="392" t="n"/>
      <c r="O343" s="392" t="n"/>
      <c r="P343" s="392" t="n"/>
      <c r="Q343" s="392" t="n"/>
      <c r="R343" s="392" t="n"/>
      <c r="S343" s="392" t="n"/>
      <c r="T343" s="392" t="n"/>
      <c r="U343" s="392" t="n"/>
      <c r="V343" s="392" t="n"/>
      <c r="W343" s="392" t="n"/>
      <c r="X343" s="392" t="n"/>
      <c r="Y343" s="392" t="n"/>
      <c r="Z343" s="392" t="n"/>
      <c r="AA343" s="392" t="n"/>
      <c r="AB343" s="392" t="n"/>
      <c r="AC343" s="392" t="n"/>
      <c r="AD343" s="392" t="n"/>
      <c r="AE343" s="392" t="n"/>
      <c r="AF343" s="392" t="n"/>
      <c r="AG343" s="392" t="n"/>
      <c r="AH343" s="392" t="n"/>
      <c r="AI343" s="392" t="n"/>
      <c r="AJ343" s="392" t="n"/>
      <c r="AK343" s="392" t="n"/>
      <c r="AL343" s="392" t="n"/>
      <c r="AM343" s="392" t="n"/>
      <c r="AN343" s="392" t="n"/>
      <c r="AO343" s="392" t="n"/>
      <c r="AP343" s="392" t="n"/>
      <c r="AQ343" s="392" t="n"/>
      <c r="AR343" s="392" t="n"/>
      <c r="AS343" s="392" t="n"/>
      <c r="AT343" s="392" t="n"/>
      <c r="AU343" s="392" t="n"/>
      <c r="AV343" s="392" t="n"/>
      <c r="AW343" s="392" t="n"/>
      <c r="AX343" s="392" t="n"/>
      <c r="AY343" s="392" t="n"/>
      <c r="AZ343" s="392" t="n"/>
      <c r="BA343" s="392" t="n"/>
      <c r="BB343" s="392" t="n"/>
      <c r="BC343" s="392" t="n"/>
      <c r="BD343" s="392" t="n"/>
      <c r="BE343" s="392" t="n"/>
      <c r="BF343" s="392" t="n"/>
      <c r="BG343" s="392" t="n"/>
      <c r="BH343" s="392" t="n"/>
      <c r="BI343" s="392" t="n"/>
      <c r="BJ343" s="392" t="n"/>
      <c r="BK343" s="392" t="n"/>
      <c r="BL343" s="392" t="n"/>
      <c r="BM343" s="392" t="n"/>
      <c r="BN343" s="392" t="n"/>
      <c r="BO343" s="392" t="n"/>
      <c r="BP343" s="392" t="n"/>
      <c r="BQ343" s="392" t="n"/>
      <c r="BR343" s="392" t="n"/>
      <c r="BS343" s="392" t="n"/>
      <c r="BT343" s="392" t="n"/>
      <c r="BU343" s="392" t="n"/>
      <c r="BV343" s="392" t="n"/>
      <c r="BW343" s="392" t="n"/>
      <c r="BX343" s="392" t="n"/>
      <c r="BY343" s="392" t="n"/>
      <c r="BZ343" s="392" t="n"/>
      <c r="CA343" s="392" t="n"/>
      <c r="CB343" s="392" t="n"/>
      <c r="CC343" s="392" t="n"/>
      <c r="CD343" s="392" t="n"/>
      <c r="CE343" s="392" t="n"/>
      <c r="CF343" s="392" t="n"/>
      <c r="CG343" s="392" t="n"/>
      <c r="CH343" s="392" t="n"/>
      <c r="CI343" s="392" t="n"/>
      <c r="CJ343" s="392" t="n"/>
      <c r="CK343" s="392" t="n"/>
      <c r="CL343" s="392" t="n"/>
      <c r="CM343" s="392" t="n"/>
      <c r="CN343" s="392" t="n"/>
      <c r="CO343" s="392" t="n"/>
      <c r="CP343" s="392" t="n"/>
      <c r="CQ343" s="392" t="n"/>
      <c r="CR343" s="392" t="n"/>
      <c r="CS343" s="392" t="n"/>
      <c r="CT343" s="392" t="n"/>
      <c r="CU343" s="392" t="n"/>
      <c r="CV343" s="392" t="n"/>
      <c r="CW343" s="392" t="n"/>
      <c r="CX343" s="392" t="n"/>
      <c r="CY343" s="392" t="n"/>
      <c r="CZ343" s="392" t="n"/>
      <c r="DA343" s="392" t="n"/>
      <c r="DB343" s="392" t="n"/>
      <c r="DC343" s="392" t="n"/>
      <c r="DD343" s="392" t="n"/>
      <c r="DE343" s="392" t="n"/>
    </row>
    <row r="344" ht="15" customHeight="1" s="410">
      <c r="A344" s="397" t="inlineStr">
        <is>
          <t xml:space="preserve">     Six Peak due to affiliates</t>
        </is>
      </c>
      <c r="B344" s="453" t="n">
        <v>2347037</v>
      </c>
      <c r="C344" s="392" t="n"/>
      <c r="D344" s="392" t="n"/>
      <c r="E344" s="392" t="n"/>
      <c r="F344" s="392" t="n"/>
      <c r="G344" s="392" t="n"/>
      <c r="H344" s="392" t="n"/>
      <c r="I344" s="392" t="n"/>
      <c r="J344" s="392" t="n"/>
      <c r="K344" s="392" t="n"/>
      <c r="L344" s="392" t="n"/>
      <c r="M344" s="392" t="n"/>
      <c r="N344" s="392" t="n"/>
      <c r="O344" s="392" t="n"/>
      <c r="P344" s="392" t="n"/>
      <c r="Q344" s="392" t="n"/>
      <c r="R344" s="392" t="n"/>
      <c r="S344" s="392" t="n"/>
      <c r="T344" s="392" t="n"/>
      <c r="U344" s="392" t="n"/>
      <c r="V344" s="392" t="n"/>
      <c r="W344" s="392" t="n"/>
      <c r="X344" s="392" t="n"/>
      <c r="Y344" s="392" t="n"/>
      <c r="Z344" s="392" t="n"/>
      <c r="AA344" s="392" t="n"/>
      <c r="AB344" s="392" t="n"/>
      <c r="AC344" s="392" t="n"/>
      <c r="AD344" s="392" t="n"/>
      <c r="AE344" s="392" t="n"/>
      <c r="AF344" s="392" t="n"/>
      <c r="AG344" s="392" t="n"/>
      <c r="AH344" s="392" t="n"/>
      <c r="AI344" s="392" t="n"/>
      <c r="AJ344" s="392" t="n"/>
      <c r="AK344" s="392" t="n"/>
      <c r="AL344" s="392" t="n"/>
      <c r="AM344" s="392" t="n"/>
      <c r="AN344" s="392" t="n"/>
      <c r="AO344" s="392" t="n"/>
      <c r="AP344" s="392" t="n"/>
      <c r="AQ344" s="392" t="n"/>
      <c r="AR344" s="392" t="n"/>
      <c r="AS344" s="392" t="n"/>
      <c r="AT344" s="392" t="n"/>
      <c r="AU344" s="392" t="n"/>
      <c r="AV344" s="392" t="n"/>
      <c r="AW344" s="392" t="n"/>
      <c r="AX344" s="392" t="n"/>
      <c r="AY344" s="392" t="n"/>
      <c r="AZ344" s="392" t="n"/>
      <c r="BA344" s="392" t="n"/>
      <c r="BB344" s="392" t="n"/>
      <c r="BC344" s="392" t="n"/>
      <c r="BD344" s="392" t="n"/>
      <c r="BE344" s="392" t="n"/>
      <c r="BF344" s="392" t="n"/>
      <c r="BG344" s="392" t="n"/>
      <c r="BH344" s="392" t="n"/>
      <c r="BI344" s="392" t="n"/>
      <c r="BJ344" s="392" t="n"/>
      <c r="BK344" s="392" t="n"/>
      <c r="BL344" s="392" t="n"/>
      <c r="BM344" s="392" t="n"/>
      <c r="BN344" s="392" t="n"/>
      <c r="BO344" s="392" t="n"/>
      <c r="BP344" s="392" t="n"/>
      <c r="BQ344" s="392" t="n"/>
      <c r="BR344" s="392" t="n"/>
      <c r="BS344" s="392" t="n"/>
      <c r="BT344" s="392" t="n"/>
      <c r="BU344" s="392" t="n"/>
      <c r="BV344" s="392" t="n"/>
      <c r="BW344" s="392" t="n"/>
      <c r="BX344" s="392" t="n"/>
      <c r="BY344" s="392" t="n"/>
      <c r="BZ344" s="392" t="n"/>
      <c r="CA344" s="392" t="n"/>
      <c r="CB344" s="392" t="n"/>
      <c r="CC344" s="392" t="n"/>
      <c r="CD344" s="392" t="n"/>
      <c r="CE344" s="392" t="n"/>
      <c r="CF344" s="392" t="n"/>
      <c r="CG344" s="392" t="n"/>
      <c r="CH344" s="392" t="n"/>
      <c r="CI344" s="392" t="n"/>
      <c r="CJ344" s="392" t="n"/>
      <c r="CK344" s="392" t="n"/>
      <c r="CL344" s="392" t="n"/>
      <c r="CM344" s="392" t="n"/>
      <c r="CN344" s="392" t="n"/>
      <c r="CO344" s="392" t="n"/>
      <c r="CP344" s="392" t="n"/>
      <c r="CQ344" s="392" t="n"/>
      <c r="CR344" s="392" t="n"/>
      <c r="CS344" s="392" t="n"/>
      <c r="CT344" s="392" t="n"/>
      <c r="CU344" s="392" t="n"/>
      <c r="CV344" s="392" t="n"/>
      <c r="CW344" s="392" t="n"/>
      <c r="CX344" s="392" t="n"/>
      <c r="CY344" s="392" t="n"/>
      <c r="CZ344" s="392" t="n"/>
      <c r="DA344" s="392" t="n"/>
      <c r="DB344" s="392" t="n"/>
      <c r="DC344" s="392" t="n"/>
      <c r="DD344" s="392" t="n"/>
      <c r="DE344" s="392" t="n"/>
    </row>
    <row r="345" ht="15" customHeight="1" s="410">
      <c r="A345" s="397" t="inlineStr">
        <is>
          <t xml:space="preserve">     Six Peak line of credit</t>
        </is>
      </c>
      <c r="B345" s="453" t="n">
        <v>299000</v>
      </c>
      <c r="C345" s="392" t="n"/>
      <c r="D345" s="392" t="n"/>
      <c r="E345" s="392" t="n"/>
      <c r="F345" s="392" t="n"/>
      <c r="G345" s="392" t="n"/>
      <c r="H345" s="392" t="n"/>
      <c r="I345" s="392" t="n"/>
      <c r="J345" s="392" t="n"/>
      <c r="K345" s="392" t="n"/>
      <c r="L345" s="392" t="n"/>
      <c r="M345" s="392" t="n"/>
      <c r="N345" s="392" t="n"/>
      <c r="O345" s="392" t="n"/>
      <c r="P345" s="392" t="n"/>
      <c r="Q345" s="392" t="n"/>
      <c r="R345" s="392" t="n"/>
      <c r="S345" s="392" t="n"/>
      <c r="T345" s="392" t="n"/>
      <c r="U345" s="392" t="n"/>
      <c r="V345" s="392" t="n"/>
      <c r="W345" s="392" t="n"/>
      <c r="X345" s="392" t="n"/>
      <c r="Y345" s="392" t="n"/>
      <c r="Z345" s="392" t="n"/>
      <c r="AA345" s="392" t="n"/>
      <c r="AB345" s="392" t="n"/>
      <c r="AC345" s="392" t="n"/>
      <c r="AD345" s="392" t="n"/>
      <c r="AE345" s="392" t="n"/>
      <c r="AF345" s="392" t="n"/>
      <c r="AG345" s="392" t="n"/>
      <c r="AH345" s="392" t="n"/>
      <c r="AI345" s="392" t="n"/>
      <c r="AJ345" s="392" t="n"/>
      <c r="AK345" s="392" t="n"/>
      <c r="AL345" s="392" t="n"/>
      <c r="AM345" s="392" t="n"/>
      <c r="AN345" s="392" t="n"/>
      <c r="AO345" s="392" t="n"/>
      <c r="AP345" s="392" t="n"/>
      <c r="AQ345" s="392" t="n"/>
      <c r="AR345" s="392" t="n"/>
      <c r="AS345" s="392" t="n"/>
      <c r="AT345" s="392" t="n"/>
      <c r="AU345" s="392" t="n"/>
      <c r="AV345" s="392" t="n"/>
      <c r="AW345" s="392" t="n"/>
      <c r="AX345" s="392" t="n"/>
      <c r="AY345" s="392" t="n"/>
      <c r="AZ345" s="392" t="n"/>
      <c r="BA345" s="392" t="n"/>
      <c r="BB345" s="392" t="n"/>
      <c r="BC345" s="392" t="n"/>
      <c r="BD345" s="392" t="n"/>
      <c r="BE345" s="392" t="n"/>
      <c r="BF345" s="392" t="n"/>
      <c r="BG345" s="392" t="n"/>
      <c r="BH345" s="392" t="n"/>
      <c r="BI345" s="392" t="n"/>
      <c r="BJ345" s="392" t="n"/>
      <c r="BK345" s="392" t="n"/>
      <c r="BL345" s="392" t="n"/>
      <c r="BM345" s="392" t="n"/>
      <c r="BN345" s="392" t="n"/>
      <c r="BO345" s="392" t="n"/>
      <c r="BP345" s="392" t="n"/>
      <c r="BQ345" s="392" t="n"/>
      <c r="BR345" s="392" t="n"/>
      <c r="BS345" s="392" t="n"/>
      <c r="BT345" s="392" t="n"/>
      <c r="BU345" s="392" t="n"/>
      <c r="BV345" s="392" t="n"/>
      <c r="BW345" s="392" t="n"/>
      <c r="BX345" s="392" t="n"/>
      <c r="BY345" s="392" t="n"/>
      <c r="BZ345" s="392" t="n"/>
      <c r="CA345" s="392" t="n"/>
      <c r="CB345" s="392" t="n"/>
      <c r="CC345" s="392" t="n"/>
      <c r="CD345" s="392" t="n"/>
      <c r="CE345" s="392" t="n"/>
      <c r="CF345" s="392" t="n"/>
      <c r="CG345" s="392" t="n"/>
      <c r="CH345" s="392" t="n"/>
      <c r="CI345" s="392" t="n"/>
      <c r="CJ345" s="392" t="n"/>
      <c r="CK345" s="392" t="n"/>
      <c r="CL345" s="392" t="n"/>
      <c r="CM345" s="392" t="n"/>
      <c r="CN345" s="392" t="n"/>
      <c r="CO345" s="392" t="n"/>
      <c r="CP345" s="392" t="n"/>
      <c r="CQ345" s="392" t="n"/>
      <c r="CR345" s="392" t="n"/>
      <c r="CS345" s="392" t="n"/>
      <c r="CT345" s="392" t="n"/>
      <c r="CU345" s="392" t="n"/>
      <c r="CV345" s="392" t="n"/>
      <c r="CW345" s="392" t="n"/>
      <c r="CX345" s="392" t="n"/>
      <c r="CY345" s="392" t="n"/>
      <c r="CZ345" s="392" t="n"/>
      <c r="DA345" s="392" t="n"/>
      <c r="DB345" s="392" t="n"/>
      <c r="DC345" s="392" t="n"/>
      <c r="DD345" s="392" t="n"/>
      <c r="DE345" s="392" t="n"/>
    </row>
    <row r="347" ht="15" customHeight="1" s="410">
      <c r="A347" s="450" t="inlineStr">
        <is>
          <t>LV balance sheet inputs (Six Peak Construction LA LP Consolidated)</t>
        </is>
      </c>
      <c r="B347" s="392" t="n"/>
      <c r="C347" s="392" t="n"/>
      <c r="D347" s="392" t="n"/>
      <c r="E347" s="392" t="n"/>
      <c r="F347" s="392" t="n"/>
      <c r="G347" s="392" t="n"/>
      <c r="H347" s="392" t="n"/>
      <c r="I347" s="392" t="n"/>
      <c r="J347" s="392" t="n"/>
      <c r="K347" s="392" t="n"/>
      <c r="L347" s="392" t="n"/>
      <c r="M347" s="392" t="n"/>
      <c r="N347" s="392" t="n"/>
      <c r="O347" s="392" t="n"/>
      <c r="P347" s="392" t="n"/>
      <c r="Q347" s="392" t="n"/>
      <c r="R347" s="392" t="n"/>
      <c r="S347" s="392" t="n"/>
      <c r="T347" s="392" t="n"/>
      <c r="U347" s="392" t="n"/>
      <c r="V347" s="392" t="n"/>
      <c r="W347" s="392" t="n"/>
      <c r="X347" s="392" t="n"/>
      <c r="Y347" s="392" t="n"/>
      <c r="Z347" s="392" t="n"/>
      <c r="AA347" s="392" t="n"/>
      <c r="AB347" s="392" t="n"/>
      <c r="AC347" s="392" t="n"/>
      <c r="AD347" s="392" t="n"/>
      <c r="AE347" s="392" t="n"/>
      <c r="AF347" s="392" t="n"/>
      <c r="AG347" s="392" t="n"/>
      <c r="AH347" s="392" t="n"/>
      <c r="AI347" s="392" t="n"/>
      <c r="AJ347" s="392" t="n"/>
      <c r="AK347" s="392" t="n"/>
      <c r="AL347" s="392" t="n"/>
      <c r="AM347" s="392" t="n"/>
      <c r="AN347" s="392" t="n"/>
      <c r="AO347" s="392" t="n"/>
      <c r="AP347" s="392" t="n"/>
      <c r="AQ347" s="392" t="n"/>
      <c r="AR347" s="392" t="n"/>
      <c r="AS347" s="392" t="n"/>
      <c r="AT347" s="392" t="n"/>
      <c r="AU347" s="392" t="n"/>
      <c r="AV347" s="392" t="n"/>
      <c r="AW347" s="392" t="n"/>
      <c r="AX347" s="392" t="n"/>
      <c r="AY347" s="392" t="n"/>
      <c r="AZ347" s="392" t="n"/>
      <c r="BA347" s="392" t="n"/>
      <c r="BB347" s="392" t="n"/>
      <c r="BC347" s="392" t="n"/>
      <c r="BD347" s="392" t="n"/>
      <c r="BE347" s="392" t="n"/>
      <c r="BF347" s="392" t="n"/>
      <c r="BG347" s="392" t="n"/>
      <c r="BH347" s="392" t="n"/>
      <c r="BI347" s="392" t="n"/>
      <c r="BJ347" s="392" t="n"/>
      <c r="BK347" s="392" t="n"/>
      <c r="BL347" s="392" t="n"/>
      <c r="BM347" s="392" t="n"/>
      <c r="BN347" s="392" t="n"/>
      <c r="BO347" s="392" t="n"/>
      <c r="BP347" s="392" t="n"/>
      <c r="BQ347" s="392" t="n"/>
      <c r="BR347" s="392" t="n"/>
      <c r="BS347" s="392" t="n"/>
      <c r="BT347" s="392" t="n"/>
      <c r="BU347" s="392" t="n"/>
      <c r="BV347" s="392" t="n"/>
      <c r="BW347" s="392" t="n"/>
      <c r="BX347" s="392" t="n"/>
      <c r="BY347" s="392" t="n"/>
      <c r="BZ347" s="392" t="n"/>
      <c r="CA347" s="392" t="n"/>
      <c r="CB347" s="392" t="n"/>
      <c r="CC347" s="392" t="n"/>
      <c r="CD347" s="392" t="n"/>
      <c r="CE347" s="392" t="n"/>
      <c r="CF347" s="392" t="n"/>
      <c r="CG347" s="392" t="n"/>
      <c r="CH347" s="392" t="n"/>
      <c r="CI347" s="392" t="n"/>
      <c r="CJ347" s="392" t="n"/>
      <c r="CK347" s="392" t="n"/>
      <c r="CL347" s="392" t="n"/>
      <c r="CM347" s="392" t="n"/>
      <c r="CN347" s="392" t="n"/>
      <c r="CO347" s="392" t="n"/>
      <c r="CP347" s="392" t="n"/>
      <c r="CQ347" s="392" t="n"/>
      <c r="CR347" s="392" t="n"/>
      <c r="CS347" s="392" t="n"/>
      <c r="CT347" s="392" t="n"/>
      <c r="CU347" s="392" t="n"/>
      <c r="CV347" s="392" t="n"/>
      <c r="CW347" s="392" t="n"/>
      <c r="CX347" s="392" t="n"/>
      <c r="CY347" s="392" t="n"/>
      <c r="CZ347" s="392" t="n"/>
      <c r="DA347" s="392" t="n"/>
      <c r="DB347" s="392" t="n"/>
      <c r="DC347" s="392" t="n"/>
      <c r="DD347" s="392" t="n"/>
      <c r="DE347" s="392" t="n"/>
    </row>
    <row r="348" ht="15" customHeight="1" s="410">
      <c r="A348" s="397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2" t="n"/>
      <c r="J348" s="392" t="n"/>
      <c r="K348" s="392" t="n"/>
      <c r="L348" s="392" t="n"/>
      <c r="M348" s="392" t="n"/>
      <c r="N348" s="392" t="n"/>
      <c r="O348" s="392" t="n"/>
      <c r="P348" s="392" t="n"/>
      <c r="Q348" s="392" t="n"/>
      <c r="R348" s="392" t="n"/>
      <c r="S348" s="392" t="n"/>
      <c r="T348" s="392" t="n"/>
      <c r="U348" s="392" t="n"/>
      <c r="V348" s="392" t="n"/>
      <c r="W348" s="392" t="n"/>
      <c r="X348" s="392" t="n"/>
      <c r="Y348" s="392" t="n"/>
      <c r="Z348" s="392" t="n"/>
      <c r="AA348" s="392" t="n"/>
      <c r="AB348" s="392" t="n"/>
      <c r="AC348" s="392" t="n"/>
      <c r="AD348" s="392" t="n"/>
      <c r="AE348" s="392" t="n"/>
      <c r="AF348" s="392" t="n"/>
      <c r="AG348" s="392" t="n"/>
      <c r="AH348" s="392" t="n"/>
      <c r="AI348" s="392" t="n"/>
      <c r="AJ348" s="392" t="n"/>
      <c r="AK348" s="392" t="n"/>
      <c r="AL348" s="392" t="n"/>
      <c r="AM348" s="392" t="n"/>
      <c r="AN348" s="392" t="n"/>
      <c r="AO348" s="392" t="n"/>
      <c r="AP348" s="392" t="n"/>
      <c r="AQ348" s="392" t="n"/>
      <c r="AR348" s="392" t="n"/>
      <c r="AS348" s="392" t="n"/>
      <c r="AT348" s="392" t="n"/>
      <c r="AU348" s="392" t="n"/>
      <c r="AV348" s="392" t="n"/>
      <c r="AW348" s="392" t="n"/>
      <c r="AX348" s="392" t="n"/>
      <c r="AY348" s="392" t="n"/>
      <c r="AZ348" s="392" t="n"/>
      <c r="BA348" s="392" t="n"/>
      <c r="BB348" s="392" t="n"/>
      <c r="BC348" s="392" t="n"/>
      <c r="BD348" s="392" t="n"/>
      <c r="BE348" s="392" t="n"/>
      <c r="BF348" s="392" t="n"/>
      <c r="BG348" s="392" t="n"/>
      <c r="BH348" s="392" t="n"/>
      <c r="BI348" s="392" t="n"/>
      <c r="BJ348" s="392" t="n"/>
      <c r="BK348" s="392" t="n"/>
      <c r="BL348" s="392" t="n"/>
      <c r="BM348" s="392" t="n"/>
      <c r="BN348" s="392" t="n"/>
      <c r="BO348" s="392" t="n"/>
      <c r="BP348" s="392" t="n"/>
      <c r="BQ348" s="392" t="n"/>
      <c r="BR348" s="392" t="n"/>
      <c r="BS348" s="392" t="n"/>
      <c r="BT348" s="392" t="n"/>
      <c r="BU348" s="392" t="n"/>
      <c r="BV348" s="392" t="n"/>
      <c r="BW348" s="392" t="n"/>
      <c r="BX348" s="392" t="n"/>
      <c r="BY348" s="392" t="n"/>
      <c r="BZ348" s="392" t="n"/>
      <c r="CA348" s="392" t="n"/>
      <c r="CB348" s="392" t="n"/>
      <c r="CC348" s="392" t="n"/>
      <c r="CD348" s="392" t="n"/>
      <c r="CE348" s="392" t="n"/>
      <c r="CF348" s="392" t="n"/>
      <c r="CG348" s="392" t="n"/>
      <c r="CH348" s="392" t="n"/>
      <c r="CI348" s="392" t="n"/>
      <c r="CJ348" s="392" t="n"/>
      <c r="CK348" s="392" t="n"/>
      <c r="CL348" s="392" t="n"/>
      <c r="CM348" s="392" t="n"/>
      <c r="CN348" s="392" t="n"/>
      <c r="CO348" s="392" t="n"/>
      <c r="CP348" s="392" t="n"/>
      <c r="CQ348" s="392" t="n"/>
      <c r="CR348" s="392" t="n"/>
      <c r="CS348" s="392" t="n"/>
      <c r="CT348" s="392" t="n"/>
      <c r="CU348" s="392" t="n"/>
      <c r="CV348" s="392" t="n"/>
      <c r="CW348" s="392" t="n"/>
      <c r="CX348" s="392" t="n"/>
      <c r="CY348" s="392" t="n"/>
      <c r="CZ348" s="392" t="n"/>
      <c r="DA348" s="392" t="n"/>
      <c r="DB348" s="392" t="n"/>
      <c r="DC348" s="392" t="n"/>
      <c r="DD348" s="392" t="n"/>
      <c r="DE348" s="392" t="n"/>
    </row>
    <row r="349" ht="15" customHeight="1" s="410">
      <c r="A349" s="397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2" t="n"/>
      <c r="J349" s="392" t="n"/>
      <c r="K349" s="392" t="n"/>
      <c r="L349" s="392" t="n"/>
      <c r="M349" s="392" t="n"/>
      <c r="N349" s="392" t="n"/>
      <c r="O349" s="392" t="n"/>
      <c r="P349" s="392" t="n"/>
      <c r="Q349" s="392" t="n"/>
      <c r="R349" s="392" t="n"/>
      <c r="S349" s="392" t="n"/>
      <c r="T349" s="392" t="n"/>
      <c r="U349" s="392" t="n"/>
      <c r="V349" s="392" t="n"/>
      <c r="W349" s="392" t="n"/>
      <c r="X349" s="392" t="n"/>
      <c r="Y349" s="392" t="n"/>
      <c r="Z349" s="392" t="n"/>
      <c r="AA349" s="392" t="n"/>
      <c r="AB349" s="392" t="n"/>
      <c r="AC349" s="392" t="n"/>
      <c r="AD349" s="392" t="n"/>
      <c r="AE349" s="392" t="n"/>
      <c r="AF349" s="392" t="n"/>
      <c r="AG349" s="392" t="n"/>
      <c r="AH349" s="392" t="n"/>
      <c r="AI349" s="392" t="n"/>
      <c r="AJ349" s="392" t="n"/>
      <c r="AK349" s="392" t="n"/>
      <c r="AL349" s="392" t="n"/>
      <c r="AM349" s="392" t="n"/>
      <c r="AN349" s="392" t="n"/>
      <c r="AO349" s="392" t="n"/>
      <c r="AP349" s="392" t="n"/>
      <c r="AQ349" s="392" t="n"/>
      <c r="AR349" s="392" t="n"/>
      <c r="AS349" s="392" t="n"/>
      <c r="AT349" s="392" t="n"/>
      <c r="AU349" s="392" t="n"/>
      <c r="AV349" s="392" t="n"/>
      <c r="AW349" s="392" t="n"/>
      <c r="AX349" s="392" t="n"/>
      <c r="AY349" s="392" t="n"/>
      <c r="AZ349" s="392" t="n"/>
      <c r="BA349" s="392" t="n"/>
      <c r="BB349" s="392" t="n"/>
      <c r="BC349" s="392" t="n"/>
      <c r="BD349" s="392" t="n"/>
      <c r="BE349" s="392" t="n"/>
      <c r="BF349" s="392" t="n"/>
      <c r="BG349" s="392" t="n"/>
      <c r="BH349" s="392" t="n"/>
      <c r="BI349" s="392" t="n"/>
      <c r="BJ349" s="392" t="n"/>
      <c r="BK349" s="392" t="n"/>
      <c r="BL349" s="392" t="n"/>
      <c r="BM349" s="392" t="n"/>
      <c r="BN349" s="392" t="n"/>
      <c r="BO349" s="392" t="n"/>
      <c r="BP349" s="392" t="n"/>
      <c r="BQ349" s="392" t="n"/>
      <c r="BR349" s="392" t="n"/>
      <c r="BS349" s="392" t="n"/>
      <c r="BT349" s="392" t="n"/>
      <c r="BU349" s="392" t="n"/>
      <c r="BV349" s="392" t="n"/>
      <c r="BW349" s="392" t="n"/>
      <c r="BX349" s="392" t="n"/>
      <c r="BY349" s="392" t="n"/>
      <c r="BZ349" s="392" t="n"/>
      <c r="CA349" s="392" t="n"/>
      <c r="CB349" s="392" t="n"/>
      <c r="CC349" s="392" t="n"/>
      <c r="CD349" s="392" t="n"/>
      <c r="CE349" s="392" t="n"/>
      <c r="CF349" s="392" t="n"/>
      <c r="CG349" s="392" t="n"/>
      <c r="CH349" s="392" t="n"/>
      <c r="CI349" s="392" t="n"/>
      <c r="CJ349" s="392" t="n"/>
      <c r="CK349" s="392" t="n"/>
      <c r="CL349" s="392" t="n"/>
      <c r="CM349" s="392" t="n"/>
      <c r="CN349" s="392" t="n"/>
      <c r="CO349" s="392" t="n"/>
      <c r="CP349" s="392" t="n"/>
      <c r="CQ349" s="392" t="n"/>
      <c r="CR349" s="392" t="n"/>
      <c r="CS349" s="392" t="n"/>
      <c r="CT349" s="392" t="n"/>
      <c r="CU349" s="392" t="n"/>
      <c r="CV349" s="392" t="n"/>
      <c r="CW349" s="392" t="n"/>
      <c r="CX349" s="392" t="n"/>
      <c r="CY349" s="392" t="n"/>
      <c r="CZ349" s="392" t="n"/>
      <c r="DA349" s="392" t="n"/>
      <c r="DB349" s="392" t="n"/>
      <c r="DC349" s="392" t="n"/>
      <c r="DD349" s="392" t="n"/>
      <c r="DE349" s="392" t="n"/>
    </row>
    <row r="350" ht="15" customHeight="1" s="410">
      <c r="A350" s="397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2" t="n"/>
      <c r="J350" s="392" t="n"/>
      <c r="K350" s="392" t="n"/>
      <c r="L350" s="392" t="n"/>
      <c r="M350" s="392" t="n"/>
      <c r="N350" s="392" t="n"/>
      <c r="O350" s="392" t="n"/>
      <c r="P350" s="392" t="n"/>
      <c r="Q350" s="392" t="n"/>
      <c r="R350" s="392" t="n"/>
      <c r="S350" s="392" t="n"/>
      <c r="T350" s="392" t="n"/>
      <c r="U350" s="392" t="n"/>
      <c r="V350" s="392" t="n"/>
      <c r="W350" s="392" t="n"/>
      <c r="X350" s="392" t="n"/>
      <c r="Y350" s="392" t="n"/>
      <c r="Z350" s="392" t="n"/>
      <c r="AA350" s="392" t="n"/>
      <c r="AB350" s="392" t="n"/>
      <c r="AC350" s="392" t="n"/>
      <c r="AD350" s="392" t="n"/>
      <c r="AE350" s="392" t="n"/>
      <c r="AF350" s="392" t="n"/>
      <c r="AG350" s="392" t="n"/>
      <c r="AH350" s="392" t="n"/>
      <c r="AI350" s="392" t="n"/>
      <c r="AJ350" s="392" t="n"/>
      <c r="AK350" s="392" t="n"/>
      <c r="AL350" s="392" t="n"/>
      <c r="AM350" s="392" t="n"/>
      <c r="AN350" s="392" t="n"/>
      <c r="AO350" s="392" t="n"/>
      <c r="AP350" s="392" t="n"/>
      <c r="AQ350" s="392" t="n"/>
      <c r="AR350" s="392" t="n"/>
      <c r="AS350" s="392" t="n"/>
      <c r="AT350" s="392" t="n"/>
      <c r="AU350" s="392" t="n"/>
      <c r="AV350" s="392" t="n"/>
      <c r="AW350" s="392" t="n"/>
      <c r="AX350" s="392" t="n"/>
      <c r="AY350" s="392" t="n"/>
      <c r="AZ350" s="392" t="n"/>
      <c r="BA350" s="392" t="n"/>
      <c r="BB350" s="392" t="n"/>
      <c r="BC350" s="392" t="n"/>
      <c r="BD350" s="392" t="n"/>
      <c r="BE350" s="392" t="n"/>
      <c r="BF350" s="392" t="n"/>
      <c r="BG350" s="392" t="n"/>
      <c r="BH350" s="392" t="n"/>
      <c r="BI350" s="392" t="n"/>
      <c r="BJ350" s="392" t="n"/>
      <c r="BK350" s="392" t="n"/>
      <c r="BL350" s="392" t="n"/>
      <c r="BM350" s="392" t="n"/>
      <c r="BN350" s="392" t="n"/>
      <c r="BO350" s="392" t="n"/>
      <c r="BP350" s="392" t="n"/>
      <c r="BQ350" s="392" t="n"/>
      <c r="BR350" s="392" t="n"/>
      <c r="BS350" s="392" t="n"/>
      <c r="BT350" s="392" t="n"/>
      <c r="BU350" s="392" t="n"/>
      <c r="BV350" s="392" t="n"/>
      <c r="BW350" s="392" t="n"/>
      <c r="BX350" s="392" t="n"/>
      <c r="BY350" s="392" t="n"/>
      <c r="BZ350" s="392" t="n"/>
      <c r="CA350" s="392" t="n"/>
      <c r="CB350" s="392" t="n"/>
      <c r="CC350" s="392" t="n"/>
      <c r="CD350" s="392" t="n"/>
      <c r="CE350" s="392" t="n"/>
      <c r="CF350" s="392" t="n"/>
      <c r="CG350" s="392" t="n"/>
      <c r="CH350" s="392" t="n"/>
      <c r="CI350" s="392" t="n"/>
      <c r="CJ350" s="392" t="n"/>
      <c r="CK350" s="392" t="n"/>
      <c r="CL350" s="392" t="n"/>
      <c r="CM350" s="392" t="n"/>
      <c r="CN350" s="392" t="n"/>
      <c r="CO350" s="392" t="n"/>
      <c r="CP350" s="392" t="n"/>
      <c r="CQ350" s="392" t="n"/>
      <c r="CR350" s="392" t="n"/>
      <c r="CS350" s="392" t="n"/>
      <c r="CT350" s="392" t="n"/>
      <c r="CU350" s="392" t="n"/>
      <c r="CV350" s="392" t="n"/>
      <c r="CW350" s="392" t="n"/>
      <c r="CX350" s="392" t="n"/>
      <c r="CY350" s="392" t="n"/>
      <c r="CZ350" s="392" t="n"/>
      <c r="DA350" s="392" t="n"/>
      <c r="DB350" s="392" t="n"/>
      <c r="DC350" s="392" t="n"/>
      <c r="DD350" s="392" t="n"/>
      <c r="DE350" s="392" t="n"/>
    </row>
    <row r="351" ht="15" customHeight="1" s="410">
      <c r="A351" s="397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2" t="n"/>
      <c r="J351" s="392" t="n"/>
      <c r="K351" s="392" t="n"/>
      <c r="L351" s="392" t="n"/>
      <c r="M351" s="392" t="n"/>
      <c r="N351" s="392" t="n"/>
      <c r="O351" s="392" t="n"/>
      <c r="P351" s="392" t="n"/>
      <c r="Q351" s="392" t="n"/>
      <c r="R351" s="392" t="n"/>
      <c r="S351" s="392" t="n"/>
      <c r="T351" s="392" t="n"/>
      <c r="U351" s="392" t="n"/>
      <c r="V351" s="392" t="n"/>
      <c r="W351" s="392" t="n"/>
      <c r="X351" s="392" t="n"/>
      <c r="Y351" s="392" t="n"/>
      <c r="Z351" s="392" t="n"/>
      <c r="AA351" s="392" t="n"/>
      <c r="AB351" s="392" t="n"/>
      <c r="AC351" s="392" t="n"/>
      <c r="AD351" s="392" t="n"/>
      <c r="AE351" s="392" t="n"/>
      <c r="AF351" s="392" t="n"/>
      <c r="AG351" s="392" t="n"/>
      <c r="AH351" s="392" t="n"/>
      <c r="AI351" s="392" t="n"/>
      <c r="AJ351" s="392" t="n"/>
      <c r="AK351" s="392" t="n"/>
      <c r="AL351" s="392" t="n"/>
      <c r="AM351" s="392" t="n"/>
      <c r="AN351" s="392" t="n"/>
      <c r="AO351" s="392" t="n"/>
      <c r="AP351" s="392" t="n"/>
      <c r="AQ351" s="392" t="n"/>
      <c r="AR351" s="392" t="n"/>
      <c r="AS351" s="392" t="n"/>
      <c r="AT351" s="392" t="n"/>
      <c r="AU351" s="392" t="n"/>
      <c r="AV351" s="392" t="n"/>
      <c r="AW351" s="392" t="n"/>
      <c r="AX351" s="392" t="n"/>
      <c r="AY351" s="392" t="n"/>
      <c r="AZ351" s="392" t="n"/>
      <c r="BA351" s="392" t="n"/>
      <c r="BB351" s="392" t="n"/>
      <c r="BC351" s="392" t="n"/>
      <c r="BD351" s="392" t="n"/>
      <c r="BE351" s="392" t="n"/>
      <c r="BF351" s="392" t="n"/>
      <c r="BG351" s="392" t="n"/>
      <c r="BH351" s="392" t="n"/>
      <c r="BI351" s="392" t="n"/>
      <c r="BJ351" s="392" t="n"/>
      <c r="BK351" s="392" t="n"/>
      <c r="BL351" s="392" t="n"/>
      <c r="BM351" s="392" t="n"/>
      <c r="BN351" s="392" t="n"/>
      <c r="BO351" s="392" t="n"/>
      <c r="BP351" s="392" t="n"/>
      <c r="BQ351" s="392" t="n"/>
      <c r="BR351" s="392" t="n"/>
      <c r="BS351" s="392" t="n"/>
      <c r="BT351" s="392" t="n"/>
      <c r="BU351" s="392" t="n"/>
      <c r="BV351" s="392" t="n"/>
      <c r="BW351" s="392" t="n"/>
      <c r="BX351" s="392" t="n"/>
      <c r="BY351" s="392" t="n"/>
      <c r="BZ351" s="392" t="n"/>
      <c r="CA351" s="392" t="n"/>
      <c r="CB351" s="392" t="n"/>
      <c r="CC351" s="392" t="n"/>
      <c r="CD351" s="392" t="n"/>
      <c r="CE351" s="392" t="n"/>
      <c r="CF351" s="392" t="n"/>
      <c r="CG351" s="392" t="n"/>
      <c r="CH351" s="392" t="n"/>
      <c r="CI351" s="392" t="n"/>
      <c r="CJ351" s="392" t="n"/>
      <c r="CK351" s="392" t="n"/>
      <c r="CL351" s="392" t="n"/>
      <c r="CM351" s="392" t="n"/>
      <c r="CN351" s="392" t="n"/>
      <c r="CO351" s="392" t="n"/>
      <c r="CP351" s="392" t="n"/>
      <c r="CQ351" s="392" t="n"/>
      <c r="CR351" s="392" t="n"/>
      <c r="CS351" s="392" t="n"/>
      <c r="CT351" s="392" t="n"/>
      <c r="CU351" s="392" t="n"/>
      <c r="CV351" s="392" t="n"/>
      <c r="CW351" s="392" t="n"/>
      <c r="CX351" s="392" t="n"/>
      <c r="CY351" s="392" t="n"/>
      <c r="CZ351" s="392" t="n"/>
      <c r="DA351" s="392" t="n"/>
      <c r="DB351" s="392" t="n"/>
      <c r="DC351" s="392" t="n"/>
      <c r="DD351" s="392" t="n"/>
      <c r="DE351" s="392" t="n"/>
    </row>
    <row r="352" ht="15" customHeight="1" s="410">
      <c r="A352" s="397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2" t="n"/>
      <c r="J352" s="392" t="n"/>
      <c r="K352" s="392" t="n"/>
      <c r="L352" s="392" t="n"/>
      <c r="M352" s="392" t="n"/>
      <c r="N352" s="392" t="n"/>
      <c r="O352" s="392" t="n"/>
      <c r="P352" s="392" t="n"/>
      <c r="Q352" s="392" t="n"/>
      <c r="R352" s="392" t="n"/>
      <c r="S352" s="392" t="n"/>
      <c r="T352" s="392" t="n"/>
      <c r="U352" s="392" t="n"/>
      <c r="V352" s="392" t="n"/>
      <c r="W352" s="392" t="n"/>
      <c r="X352" s="392" t="n"/>
      <c r="Y352" s="392" t="n"/>
      <c r="Z352" s="392" t="n"/>
      <c r="AA352" s="392" t="n"/>
      <c r="AB352" s="392" t="n"/>
      <c r="AC352" s="392" t="n"/>
      <c r="AD352" s="392" t="n"/>
      <c r="AE352" s="392" t="n"/>
      <c r="AF352" s="392" t="n"/>
      <c r="AG352" s="392" t="n"/>
      <c r="AH352" s="392" t="n"/>
      <c r="AI352" s="392" t="n"/>
      <c r="AJ352" s="392" t="n"/>
      <c r="AK352" s="392" t="n"/>
      <c r="AL352" s="392" t="n"/>
      <c r="AM352" s="392" t="n"/>
      <c r="AN352" s="392" t="n"/>
      <c r="AO352" s="392" t="n"/>
      <c r="AP352" s="392" t="n"/>
      <c r="AQ352" s="392" t="n"/>
      <c r="AR352" s="392" t="n"/>
      <c r="AS352" s="392" t="n"/>
      <c r="AT352" s="392" t="n"/>
      <c r="AU352" s="392" t="n"/>
      <c r="AV352" s="392" t="n"/>
      <c r="AW352" s="392" t="n"/>
      <c r="AX352" s="392" t="n"/>
      <c r="AY352" s="392" t="n"/>
      <c r="AZ352" s="392" t="n"/>
      <c r="BA352" s="392" t="n"/>
      <c r="BB352" s="392" t="n"/>
      <c r="BC352" s="392" t="n"/>
      <c r="BD352" s="392" t="n"/>
      <c r="BE352" s="392" t="n"/>
      <c r="BF352" s="392" t="n"/>
      <c r="BG352" s="392" t="n"/>
      <c r="BH352" s="392" t="n"/>
      <c r="BI352" s="392" t="n"/>
      <c r="BJ352" s="392" t="n"/>
      <c r="BK352" s="392" t="n"/>
      <c r="BL352" s="392" t="n"/>
      <c r="BM352" s="392" t="n"/>
      <c r="BN352" s="392" t="n"/>
      <c r="BO352" s="392" t="n"/>
      <c r="BP352" s="392" t="n"/>
      <c r="BQ352" s="392" t="n"/>
      <c r="BR352" s="392" t="n"/>
      <c r="BS352" s="392" t="n"/>
      <c r="BT352" s="392" t="n"/>
      <c r="BU352" s="392" t="n"/>
      <c r="BV352" s="392" t="n"/>
      <c r="BW352" s="392" t="n"/>
      <c r="BX352" s="392" t="n"/>
      <c r="BY352" s="392" t="n"/>
      <c r="BZ352" s="392" t="n"/>
      <c r="CA352" s="392" t="n"/>
      <c r="CB352" s="392" t="n"/>
      <c r="CC352" s="392" t="n"/>
      <c r="CD352" s="392" t="n"/>
      <c r="CE352" s="392" t="n"/>
      <c r="CF352" s="392" t="n"/>
      <c r="CG352" s="392" t="n"/>
      <c r="CH352" s="392" t="n"/>
      <c r="CI352" s="392" t="n"/>
      <c r="CJ352" s="392" t="n"/>
      <c r="CK352" s="392" t="n"/>
      <c r="CL352" s="392" t="n"/>
      <c r="CM352" s="392" t="n"/>
      <c r="CN352" s="392" t="n"/>
      <c r="CO352" s="392" t="n"/>
      <c r="CP352" s="392" t="n"/>
      <c r="CQ352" s="392" t="n"/>
      <c r="CR352" s="392" t="n"/>
      <c r="CS352" s="392" t="n"/>
      <c r="CT352" s="392" t="n"/>
      <c r="CU352" s="392" t="n"/>
      <c r="CV352" s="392" t="n"/>
      <c r="CW352" s="392" t="n"/>
      <c r="CX352" s="392" t="n"/>
      <c r="CY352" s="392" t="n"/>
      <c r="CZ352" s="392" t="n"/>
      <c r="DA352" s="392" t="n"/>
      <c r="DB352" s="392" t="n"/>
      <c r="DC352" s="392" t="n"/>
      <c r="DD352" s="392" t="n"/>
      <c r="DE352" s="392" t="n"/>
    </row>
    <row r="354" ht="15" customHeight="1" s="410">
      <c r="A354" s="450" t="inlineStr">
        <is>
          <t>LV cash roll-forward</t>
        </is>
      </c>
      <c r="B354" s="392" t="n"/>
      <c r="C354" s="392" t="n"/>
      <c r="D354" s="392" t="n"/>
      <c r="E354" s="392" t="n"/>
      <c r="F354" s="392" t="n"/>
      <c r="G354" s="392" t="n"/>
      <c r="H354" s="392" t="n"/>
      <c r="I354" s="392" t="n"/>
      <c r="J354" s="392" t="n"/>
      <c r="K354" s="392" t="n"/>
      <c r="L354" s="392" t="n"/>
      <c r="M354" s="392" t="n"/>
      <c r="N354" s="392" t="n"/>
      <c r="O354" s="392" t="n"/>
      <c r="P354" s="392" t="n"/>
      <c r="Q354" s="392" t="n"/>
      <c r="R354" s="392" t="n"/>
      <c r="S354" s="392" t="n"/>
      <c r="T354" s="392" t="n"/>
      <c r="U354" s="392" t="n"/>
      <c r="V354" s="392" t="n"/>
      <c r="W354" s="392" t="n"/>
      <c r="X354" s="392" t="n"/>
      <c r="Y354" s="392" t="n"/>
      <c r="Z354" s="392" t="n"/>
      <c r="AA354" s="392" t="n"/>
      <c r="AB354" s="392" t="n"/>
      <c r="AC354" s="392" t="n"/>
      <c r="AD354" s="392" t="n"/>
      <c r="AE354" s="392" t="n"/>
      <c r="AF354" s="392" t="n"/>
      <c r="AG354" s="392" t="n"/>
      <c r="AH354" s="392" t="n"/>
      <c r="AI354" s="392" t="n"/>
      <c r="AJ354" s="392" t="n"/>
      <c r="AK354" s="392" t="n"/>
      <c r="AL354" s="392" t="n"/>
      <c r="AM354" s="392" t="n"/>
      <c r="AN354" s="392" t="n"/>
      <c r="AO354" s="392" t="n"/>
      <c r="AP354" s="392" t="n"/>
      <c r="AQ354" s="392" t="n"/>
      <c r="AR354" s="392" t="n"/>
      <c r="AS354" s="392" t="n"/>
      <c r="AT354" s="392" t="n"/>
      <c r="AU354" s="392" t="n"/>
      <c r="AV354" s="392" t="n"/>
      <c r="AW354" s="392" t="n"/>
      <c r="AX354" s="392" t="n"/>
      <c r="AY354" s="392" t="n"/>
      <c r="AZ354" s="392" t="n"/>
      <c r="BA354" s="392" t="n"/>
      <c r="BB354" s="392" t="n"/>
      <c r="BC354" s="392" t="n"/>
      <c r="BD354" s="392" t="n"/>
      <c r="BE354" s="392" t="n"/>
      <c r="BF354" s="392" t="n"/>
      <c r="BG354" s="392" t="n"/>
      <c r="BH354" s="392" t="n"/>
      <c r="BI354" s="392" t="n"/>
      <c r="BJ354" s="392" t="n"/>
      <c r="BK354" s="392" t="n"/>
      <c r="BL354" s="392" t="n"/>
      <c r="BM354" s="392" t="n"/>
      <c r="BN354" s="392" t="n"/>
      <c r="BO354" s="392" t="n"/>
      <c r="BP354" s="392" t="n"/>
      <c r="BQ354" s="392" t="n"/>
      <c r="BR354" s="392" t="n"/>
      <c r="BS354" s="392" t="n"/>
      <c r="BT354" s="392" t="n"/>
      <c r="BU354" s="392" t="n"/>
      <c r="BV354" s="392" t="n"/>
      <c r="BW354" s="392" t="n"/>
      <c r="BX354" s="392" t="n"/>
      <c r="BY354" s="392" t="n"/>
      <c r="BZ354" s="392" t="n"/>
      <c r="CA354" s="392" t="n"/>
      <c r="CB354" s="392" t="n"/>
      <c r="CC354" s="392" t="n"/>
      <c r="CD354" s="392" t="n"/>
      <c r="CE354" s="392" t="n"/>
      <c r="CF354" s="392" t="n"/>
      <c r="CG354" s="392" t="n"/>
      <c r="CH354" s="392" t="n"/>
      <c r="CI354" s="392" t="n"/>
      <c r="CJ354" s="392" t="n"/>
      <c r="CK354" s="392" t="n"/>
      <c r="CL354" s="392" t="n"/>
      <c r="CM354" s="392" t="n"/>
      <c r="CN354" s="392" t="n"/>
      <c r="CO354" s="392" t="n"/>
      <c r="CP354" s="392" t="n"/>
      <c r="CQ354" s="392" t="n"/>
      <c r="CR354" s="392" t="n"/>
      <c r="CS354" s="392" t="n"/>
      <c r="CT354" s="392" t="n"/>
      <c r="CU354" s="392" t="n"/>
      <c r="CV354" s="392" t="n"/>
      <c r="CW354" s="392" t="n"/>
      <c r="CX354" s="392" t="n"/>
      <c r="CY354" s="392" t="n"/>
      <c r="CZ354" s="392" t="n"/>
      <c r="DA354" s="392" t="n"/>
      <c r="DB354" s="392" t="n"/>
      <c r="DC354" s="392" t="n"/>
      <c r="DD354" s="392" t="n"/>
      <c r="DE354" s="392" t="n"/>
    </row>
    <row r="355" ht="15" customHeight="1" s="410">
      <c r="A355" s="397" t="inlineStr">
        <is>
          <t xml:space="preserve">     Beginning cash (prior month-end B/S)</t>
        </is>
      </c>
      <c r="B355" s="392">
        <f>IF(B300="","",$B$339)</f>
        <v/>
      </c>
      <c r="C355" s="392">
        <f>IF(C300="","",B300)</f>
        <v/>
      </c>
      <c r="D355" s="392">
        <f>IF(D300="","",C300)</f>
        <v/>
      </c>
      <c r="E355" s="392">
        <f>IF(E300="","",D300)</f>
        <v/>
      </c>
      <c r="F355" s="392">
        <f>IF(F300="","",E300)</f>
        <v/>
      </c>
      <c r="G355" s="392">
        <f>IF(G300="","",F300)</f>
        <v/>
      </c>
      <c r="H355" s="392">
        <f>IF(H300="","",G300)</f>
        <v/>
      </c>
      <c r="I355" s="392">
        <f>IF(I300="","",H300)</f>
        <v/>
      </c>
      <c r="J355" s="392">
        <f>IF(J300="","",I300)</f>
        <v/>
      </c>
      <c r="K355" s="392">
        <f>IF(K300="","",J300)</f>
        <v/>
      </c>
      <c r="L355" s="392">
        <f>IF(L300="","",K300)</f>
        <v/>
      </c>
      <c r="M355" s="392">
        <f>IF(M300="","",L300)</f>
        <v/>
      </c>
      <c r="N355" s="392">
        <f>IF(N300="","",M300)</f>
        <v/>
      </c>
      <c r="O355" s="392">
        <f>IF(O300="","",N300)</f>
        <v/>
      </c>
      <c r="P355" s="392">
        <f>IF(P300="","",O300)</f>
        <v/>
      </c>
      <c r="Q355" s="392">
        <f>IF(Q300="","",P300)</f>
        <v/>
      </c>
      <c r="R355" s="392">
        <f>IF(R300="","",Q300)</f>
        <v/>
      </c>
      <c r="S355" s="392">
        <f>IF(S300="","",R300)</f>
        <v/>
      </c>
      <c r="T355" s="392">
        <f>IF(T300="","",S300)</f>
        <v/>
      </c>
      <c r="U355" s="392">
        <f>IF(U300="","",T300)</f>
        <v/>
      </c>
      <c r="V355" s="392">
        <f>IF(V300="","",U300)</f>
        <v/>
      </c>
      <c r="W355" s="392">
        <f>IF(W300="","",V300)</f>
        <v/>
      </c>
      <c r="X355" s="392">
        <f>IF(X300="","",W300)</f>
        <v/>
      </c>
      <c r="Y355" s="392">
        <f>IF(Y300="","",X300)</f>
        <v/>
      </c>
      <c r="Z355" s="392">
        <f>IF(Z300="","",Y300)</f>
        <v/>
      </c>
      <c r="AA355" s="392">
        <f>IF(AA300="","",Z300)</f>
        <v/>
      </c>
      <c r="AB355" s="392">
        <f>IF(AB300="","",AA300)</f>
        <v/>
      </c>
      <c r="AC355" s="392">
        <f>IF(AC300="","",AB300)</f>
        <v/>
      </c>
      <c r="AD355" s="392">
        <f>IF(AD300="","",AC300)</f>
        <v/>
      </c>
      <c r="AE355" s="392">
        <f>IF(AE300="","",AD300)</f>
        <v/>
      </c>
      <c r="AF355" s="392">
        <f>IF(AF300="","",AE300)</f>
        <v/>
      </c>
      <c r="AG355" s="392">
        <f>IF(AG300="","",AF300)</f>
        <v/>
      </c>
      <c r="AH355" s="392">
        <f>IF(AH300="","",AG300)</f>
        <v/>
      </c>
      <c r="AI355" s="392">
        <f>IF(AI300="","",AH300)</f>
        <v/>
      </c>
      <c r="AJ355" s="392">
        <f>IF(AJ300="","",AI300)</f>
        <v/>
      </c>
      <c r="AK355" s="392">
        <f>IF(AK300="","",AJ300)</f>
        <v/>
      </c>
      <c r="AL355" s="392">
        <f>IF(AL300="","",AK300)</f>
        <v/>
      </c>
      <c r="AM355" s="392">
        <f>IF(AM300="","",AL300)</f>
        <v/>
      </c>
      <c r="AN355" s="392">
        <f>IF(AN300="","",AM300)</f>
        <v/>
      </c>
      <c r="AO355" s="392">
        <f>IF(AO300="","",AN300)</f>
        <v/>
      </c>
      <c r="AP355" s="392">
        <f>IF(AP300="","",AO300)</f>
        <v/>
      </c>
      <c r="AQ355" s="392">
        <f>IF(AQ300="","",AP300)</f>
        <v/>
      </c>
      <c r="AR355" s="392">
        <f>IF(AR300="","",AQ300)</f>
        <v/>
      </c>
      <c r="AS355" s="392">
        <f>IF(AS300="","",AR300)</f>
        <v/>
      </c>
      <c r="AT355" s="392">
        <f>IF(AT300="","",AS300)</f>
        <v/>
      </c>
      <c r="AU355" s="392">
        <f>IF(AU300="","",AT300)</f>
        <v/>
      </c>
      <c r="AV355" s="392">
        <f>IF(AV300="","",AU300)</f>
        <v/>
      </c>
      <c r="AW355" s="392">
        <f>IF(AW300="","",AV300)</f>
        <v/>
      </c>
      <c r="AX355" s="392">
        <f>IF(AX300="","",AW300)</f>
        <v/>
      </c>
      <c r="AY355" s="392">
        <f>IF(AY300="","",AX300)</f>
        <v/>
      </c>
      <c r="AZ355" s="392">
        <f>IF(AZ300="","",AY300)</f>
        <v/>
      </c>
      <c r="BA355" s="392">
        <f>IF(BA300="","",AZ300)</f>
        <v/>
      </c>
      <c r="BB355" s="392">
        <f>IF(BB300="","",BA300)</f>
        <v/>
      </c>
      <c r="BC355" s="392">
        <f>IF(BC300="","",BB300)</f>
        <v/>
      </c>
      <c r="BD355" s="392">
        <f>IF(BD300="","",BC300)</f>
        <v/>
      </c>
      <c r="BE355" s="392">
        <f>IF(BE300="","",BD300)</f>
        <v/>
      </c>
      <c r="BF355" s="392">
        <f>IF(BF300="","",BE300)</f>
        <v/>
      </c>
      <c r="BG355" s="392">
        <f>IF(BG300="","",BF300)</f>
        <v/>
      </c>
      <c r="BH355" s="392">
        <f>IF(BH300="","",BG300)</f>
        <v/>
      </c>
      <c r="BI355" s="392">
        <f>IF(BI300="","",BH300)</f>
        <v/>
      </c>
      <c r="BJ355" s="392">
        <f>IF(BJ300="","",BI300)</f>
        <v/>
      </c>
      <c r="BK355" s="392">
        <f>IF(BK300="","",BJ300)</f>
        <v/>
      </c>
      <c r="BL355" s="392">
        <f>IF(BL300="","",BK300)</f>
        <v/>
      </c>
      <c r="BM355" s="392">
        <f>IF(BM300="","",BL300)</f>
        <v/>
      </c>
      <c r="BN355" s="392">
        <f>IF(BN300="","",BM300)</f>
        <v/>
      </c>
      <c r="BO355" s="392">
        <f>IF(BO300="","",BN300)</f>
        <v/>
      </c>
      <c r="BP355" s="392">
        <f>IF(BP300="","",BO300)</f>
        <v/>
      </c>
      <c r="BQ355" s="392">
        <f>IF(BQ300="","",BP300)</f>
        <v/>
      </c>
      <c r="BR355" s="392">
        <f>IF(BR300="","",BQ300)</f>
        <v/>
      </c>
      <c r="BS355" s="392">
        <f>IF(BS300="","",BR300)</f>
        <v/>
      </c>
      <c r="BT355" s="392">
        <f>IF(BT300="","",BS300)</f>
        <v/>
      </c>
      <c r="BU355" s="392">
        <f>IF(BU300="","",BT300)</f>
        <v/>
      </c>
      <c r="BV355" s="392">
        <f>IF(BV300="","",BU300)</f>
        <v/>
      </c>
      <c r="BW355" s="392">
        <f>IF(BW300="","",BV300)</f>
        <v/>
      </c>
      <c r="BX355" s="392">
        <f>IF(BX300="","",BW300)</f>
        <v/>
      </c>
      <c r="BY355" s="392">
        <f>IF(BY300="","",BX300)</f>
        <v/>
      </c>
      <c r="BZ355" s="392">
        <f>IF(BZ300="","",BY300)</f>
        <v/>
      </c>
      <c r="CA355" s="392">
        <f>IF(CA300="","",BZ300)</f>
        <v/>
      </c>
      <c r="CB355" s="392">
        <f>IF(CB300="","",CA300)</f>
        <v/>
      </c>
      <c r="CC355" s="392">
        <f>IF(CC300="","",CB300)</f>
        <v/>
      </c>
      <c r="CD355" s="392">
        <f>IF(CD300="","",CC300)</f>
        <v/>
      </c>
      <c r="CE355" s="392">
        <f>IF(CE300="","",CD300)</f>
        <v/>
      </c>
      <c r="CF355" s="392">
        <f>IF(CF300="","",CE300)</f>
        <v/>
      </c>
      <c r="CG355" s="392">
        <f>IF(CG300="","",CF300)</f>
        <v/>
      </c>
      <c r="CH355" s="392">
        <f>IF(CH300="","",CG300)</f>
        <v/>
      </c>
      <c r="CI355" s="392">
        <f>IF(CI300="","",CH300)</f>
        <v/>
      </c>
      <c r="CJ355" s="392">
        <f>IF(CJ300="","",CI300)</f>
        <v/>
      </c>
      <c r="CK355" s="392">
        <f>IF(CK300="","",CJ300)</f>
        <v/>
      </c>
      <c r="CL355" s="392">
        <f>IF(CL300="","",CK300)</f>
        <v/>
      </c>
      <c r="CM355" s="392">
        <f>IF(CM300="","",CL300)</f>
        <v/>
      </c>
      <c r="CN355" s="392">
        <f>IF(CN300="","",CM300)</f>
        <v/>
      </c>
      <c r="CO355" s="392">
        <f>IF(CO300="","",CN300)</f>
        <v/>
      </c>
      <c r="CP355" s="392">
        <f>IF(CP300="","",CO300)</f>
        <v/>
      </c>
      <c r="CQ355" s="392">
        <f>IF(CQ300="","",CP300)</f>
        <v/>
      </c>
      <c r="CR355" s="392">
        <f>IF(CR300="","",CQ300)</f>
        <v/>
      </c>
      <c r="CS355" s="392">
        <f>IF(CS300="","",CR300)</f>
        <v/>
      </c>
      <c r="CT355" s="392">
        <f>IF(CT300="","",CS300)</f>
        <v/>
      </c>
      <c r="CU355" s="392">
        <f>IF(CU300="","",CT300)</f>
        <v/>
      </c>
      <c r="CV355" s="392">
        <f>IF(CV300="","",CU300)</f>
        <v/>
      </c>
      <c r="CW355" s="392">
        <f>IF(CW300="","",CV300)</f>
        <v/>
      </c>
      <c r="CX355" s="392">
        <f>IF(CX300="","",CW300)</f>
        <v/>
      </c>
      <c r="CY355" s="392">
        <f>IF(CY300="","",CX300)</f>
        <v/>
      </c>
      <c r="CZ355" s="392">
        <f>IF(CZ300="","",CY300)</f>
        <v/>
      </c>
      <c r="DA355" s="392">
        <f>IF(DA300="","",CZ300)</f>
        <v/>
      </c>
      <c r="DB355" s="392">
        <f>IF(DB300="","",DA300)</f>
        <v/>
      </c>
      <c r="DC355" s="392">
        <f>IF(DC300="","",DB300)</f>
        <v/>
      </c>
      <c r="DD355" s="392">
        <f>IF(DD300="","",DC300)</f>
        <v/>
      </c>
      <c r="DE355" s="392">
        <f>IF(DE300="","",DD300)</f>
        <v/>
      </c>
    </row>
    <row r="356" ht="15" customHeight="1" s="410">
      <c r="A356" s="397" t="inlineStr">
        <is>
          <t xml:space="preserve">     GC net income (Model row 147, Actuals)</t>
        </is>
      </c>
      <c r="B356" s="392">
        <f>IF(B$4="Actuals",B147,"")</f>
        <v/>
      </c>
      <c r="C356" s="392">
        <f>IF(C$4="Actuals",C147,"")</f>
        <v/>
      </c>
      <c r="D356" s="392">
        <f>IF(D$4="Actuals",D147,"")</f>
        <v/>
      </c>
      <c r="E356" s="392">
        <f>IF(E$4="Actuals",E147,"")</f>
        <v/>
      </c>
      <c r="F356" s="392">
        <f>IF(F$4="Actuals",F147,"")</f>
        <v/>
      </c>
      <c r="G356" s="392">
        <f>IF(G$4="Actuals",G147,"")</f>
        <v/>
      </c>
      <c r="H356" s="392">
        <f>IF(H$4="Actuals",H147,"")</f>
        <v/>
      </c>
      <c r="I356" s="392">
        <f>IF(I$4="Actuals",I147,"")</f>
        <v/>
      </c>
      <c r="J356" s="392">
        <f>IF(J$4="Actuals",J147,"")</f>
        <v/>
      </c>
      <c r="K356" s="392">
        <f>IF(K$4="Actuals",K147,"")</f>
        <v/>
      </c>
      <c r="L356" s="392">
        <f>IF(L$4="Actuals",L147,"")</f>
        <v/>
      </c>
      <c r="M356" s="392">
        <f>IF(M$4="Actuals",M147,"")</f>
        <v/>
      </c>
      <c r="N356" s="392">
        <f>IF(N$4="Actuals",N147,"")</f>
        <v/>
      </c>
      <c r="O356" s="392">
        <f>IF(O$4="Actuals",O147,"")</f>
        <v/>
      </c>
      <c r="P356" s="392">
        <f>IF(P$4="Actuals",P147,"")</f>
        <v/>
      </c>
      <c r="Q356" s="392">
        <f>IF(Q$4="Actuals",Q147,"")</f>
        <v/>
      </c>
      <c r="R356" s="392">
        <f>IF(R$4="Actuals",R147,"")</f>
        <v/>
      </c>
      <c r="S356" s="392">
        <f>IF(S$4="Actuals",S147,"")</f>
        <v/>
      </c>
      <c r="T356" s="392">
        <f>IF(T$4="Actuals",T147,"")</f>
        <v/>
      </c>
      <c r="U356" s="392">
        <f>IF(U$4="Actuals",U147,"")</f>
        <v/>
      </c>
      <c r="V356" s="392">
        <f>IF(V$4="Actuals",V147,"")</f>
        <v/>
      </c>
      <c r="W356" s="392">
        <f>IF(W$4="Actuals",W147,"")</f>
        <v/>
      </c>
      <c r="X356" s="392">
        <f>IF(X$4="Actuals",X147,"")</f>
        <v/>
      </c>
      <c r="Y356" s="392">
        <f>IF(Y$4="Actuals",Y147,"")</f>
        <v/>
      </c>
      <c r="Z356" s="392">
        <f>IF(Z$4="Actuals",Z147,"")</f>
        <v/>
      </c>
      <c r="AA356" s="392">
        <f>IF(AA$4="Actuals",AA147,"")</f>
        <v/>
      </c>
      <c r="AB356" s="392">
        <f>IF(AB$4="Actuals",AB147,"")</f>
        <v/>
      </c>
      <c r="AC356" s="392">
        <f>IF(AC$4="Actuals",AC147,"")</f>
        <v/>
      </c>
      <c r="AD356" s="392">
        <f>IF(AD$4="Actuals",AD147,"")</f>
        <v/>
      </c>
      <c r="AE356" s="392">
        <f>IF(AE$4="Actuals",AE147,"")</f>
        <v/>
      </c>
      <c r="AF356" s="392">
        <f>IF(AF$4="Actuals",AF147,"")</f>
        <v/>
      </c>
      <c r="AG356" s="392">
        <f>IF(AG$4="Actuals",AG147,"")</f>
        <v/>
      </c>
      <c r="AH356" s="392">
        <f>IF(AH$4="Actuals",AH147,"")</f>
        <v/>
      </c>
      <c r="AI356" s="392">
        <f>IF(AI$4="Actuals",AI147,"")</f>
        <v/>
      </c>
      <c r="AJ356" s="392">
        <f>IF(AJ$4="Actuals",AJ147,"")</f>
        <v/>
      </c>
      <c r="AK356" s="392">
        <f>IF(AK$4="Actuals",AK147,"")</f>
        <v/>
      </c>
      <c r="AL356" s="392">
        <f>IF(AL$4="Actuals",AL147,"")</f>
        <v/>
      </c>
      <c r="AM356" s="392">
        <f>IF(AM$4="Actuals",AM147,"")</f>
        <v/>
      </c>
      <c r="AN356" s="392">
        <f>IF(AN$4="Actuals",AN147,"")</f>
        <v/>
      </c>
      <c r="AO356" s="392">
        <f>IF(AO$4="Actuals",AO147,"")</f>
        <v/>
      </c>
      <c r="AP356" s="392">
        <f>IF(AP$4="Actuals",AP147,"")</f>
        <v/>
      </c>
      <c r="AQ356" s="392">
        <f>IF(AQ$4="Actuals",AQ147,"")</f>
        <v/>
      </c>
      <c r="AR356" s="392">
        <f>IF(AR$4="Actuals",AR147,"")</f>
        <v/>
      </c>
      <c r="AS356" s="392">
        <f>IF(AS$4="Actuals",AS147,"")</f>
        <v/>
      </c>
      <c r="AT356" s="392">
        <f>IF(AT$4="Actuals",AT147,"")</f>
        <v/>
      </c>
      <c r="AU356" s="392">
        <f>IF(AU$4="Actuals",AU147,"")</f>
        <v/>
      </c>
      <c r="AV356" s="392">
        <f>IF(AV$4="Actuals",AV147,"")</f>
        <v/>
      </c>
      <c r="AW356" s="392">
        <f>IF(AW$4="Actuals",AW147,"")</f>
        <v/>
      </c>
      <c r="AX356" s="392">
        <f>IF(AX$4="Actuals",AX147,"")</f>
        <v/>
      </c>
      <c r="AY356" s="392">
        <f>IF(AY$4="Actuals",AY147,"")</f>
        <v/>
      </c>
      <c r="AZ356" s="392">
        <f>IF(AZ$4="Actuals",AZ147,"")</f>
        <v/>
      </c>
      <c r="BA356" s="392">
        <f>IF(BA$4="Actuals",BA147,"")</f>
        <v/>
      </c>
      <c r="BB356" s="392">
        <f>IF(BB$4="Actuals",BB147,"")</f>
        <v/>
      </c>
      <c r="BC356" s="392">
        <f>IF(BC$4="Actuals",BC147,"")</f>
        <v/>
      </c>
      <c r="BD356" s="392">
        <f>IF(BD$4="Actuals",BD147,"")</f>
        <v/>
      </c>
      <c r="BE356" s="392">
        <f>IF(BE$4="Actuals",BE147,"")</f>
        <v/>
      </c>
      <c r="BF356" s="392">
        <f>IF(BF$4="Actuals",BF147,"")</f>
        <v/>
      </c>
      <c r="BG356" s="392">
        <f>IF(BG$4="Actuals",BG147,"")</f>
        <v/>
      </c>
      <c r="BH356" s="392">
        <f>IF(BH$4="Actuals",BH147,"")</f>
        <v/>
      </c>
      <c r="BI356" s="392">
        <f>IF(BI$4="Actuals",BI147,"")</f>
        <v/>
      </c>
      <c r="BJ356" s="392">
        <f>IF(BJ$4="Actuals",BJ147,"")</f>
        <v/>
      </c>
      <c r="BK356" s="392">
        <f>IF(BK$4="Actuals",BK147,"")</f>
        <v/>
      </c>
      <c r="BL356" s="392">
        <f>IF(BL$4="Actuals",BL147,"")</f>
        <v/>
      </c>
      <c r="BM356" s="392">
        <f>IF(BM$4="Actuals",BM147,"")</f>
        <v/>
      </c>
      <c r="BN356" s="392">
        <f>IF(BN$4="Actuals",BN147,"")</f>
        <v/>
      </c>
      <c r="BO356" s="392">
        <f>IF(BO$4="Actuals",BO147,"")</f>
        <v/>
      </c>
      <c r="BP356" s="392">
        <f>IF(BP$4="Actuals",BP147,"")</f>
        <v/>
      </c>
      <c r="BQ356" s="392">
        <f>IF(BQ$4="Actuals",BQ147,"")</f>
        <v/>
      </c>
      <c r="BR356" s="392">
        <f>IF(BR$4="Actuals",BR147,"")</f>
        <v/>
      </c>
      <c r="BS356" s="392">
        <f>IF(BS$4="Actuals",BS147,"")</f>
        <v/>
      </c>
      <c r="BT356" s="392">
        <f>IF(BT$4="Actuals",BT147,"")</f>
        <v/>
      </c>
      <c r="BU356" s="392">
        <f>IF(BU$4="Actuals",BU147,"")</f>
        <v/>
      </c>
      <c r="BV356" s="392">
        <f>IF(BV$4="Actuals",BV147,"")</f>
        <v/>
      </c>
      <c r="BW356" s="392">
        <f>IF(BW$4="Actuals",BW147,"")</f>
        <v/>
      </c>
      <c r="BX356" s="392">
        <f>IF(BX$4="Actuals",BX147,"")</f>
        <v/>
      </c>
      <c r="BY356" s="392">
        <f>IF(BY$4="Actuals",BY147,"")</f>
        <v/>
      </c>
      <c r="BZ356" s="392">
        <f>IF(BZ$4="Actuals",BZ147,"")</f>
        <v/>
      </c>
      <c r="CA356" s="392">
        <f>IF(CA$4="Actuals",CA147,"")</f>
        <v/>
      </c>
      <c r="CB356" s="392">
        <f>IF(CB$4="Actuals",CB147,"")</f>
        <v/>
      </c>
      <c r="CC356" s="392">
        <f>IF(CC$4="Actuals",CC147,"")</f>
        <v/>
      </c>
      <c r="CD356" s="392">
        <f>IF(CD$4="Actuals",CD147,"")</f>
        <v/>
      </c>
      <c r="CE356" s="392">
        <f>IF(CE$4="Actuals",CE147,"")</f>
        <v/>
      </c>
      <c r="CF356" s="392">
        <f>IF(CF$4="Actuals",CF147,"")</f>
        <v/>
      </c>
      <c r="CG356" s="392">
        <f>IF(CG$4="Actuals",CG147,"")</f>
        <v/>
      </c>
      <c r="CH356" s="392">
        <f>IF(CH$4="Actuals",CH147,"")</f>
        <v/>
      </c>
      <c r="CI356" s="392">
        <f>IF(CI$4="Actuals",CI147,"")</f>
        <v/>
      </c>
      <c r="CJ356" s="392">
        <f>IF(CJ$4="Actuals",CJ147,"")</f>
        <v/>
      </c>
      <c r="CK356" s="392">
        <f>IF(CK$4="Actuals",CK147,"")</f>
        <v/>
      </c>
      <c r="CL356" s="392">
        <f>IF(CL$4="Actuals",CL147,"")</f>
        <v/>
      </c>
      <c r="CM356" s="392">
        <f>IF(CM$4="Actuals",CM147,"")</f>
        <v/>
      </c>
      <c r="CN356" s="392">
        <f>IF(CN$4="Actuals",CN147,"")</f>
        <v/>
      </c>
      <c r="CO356" s="392">
        <f>IF(CO$4="Actuals",CO147,"")</f>
        <v/>
      </c>
      <c r="CP356" s="392">
        <f>IF(CP$4="Actuals",CP147,"")</f>
        <v/>
      </c>
      <c r="CQ356" s="392">
        <f>IF(CQ$4="Actuals",CQ147,"")</f>
        <v/>
      </c>
      <c r="CR356" s="392">
        <f>IF(CR$4="Actuals",CR147,"")</f>
        <v/>
      </c>
      <c r="CS356" s="392">
        <f>IF(CS$4="Actuals",CS147,"")</f>
        <v/>
      </c>
      <c r="CT356" s="392">
        <f>IF(CT$4="Actuals",CT147,"")</f>
        <v/>
      </c>
      <c r="CU356" s="392">
        <f>IF(CU$4="Actuals",CU147,"")</f>
        <v/>
      </c>
      <c r="CV356" s="392">
        <f>IF(CV$4="Actuals",CV147,"")</f>
        <v/>
      </c>
      <c r="CW356" s="392">
        <f>IF(CW$4="Actuals",CW147,"")</f>
        <v/>
      </c>
      <c r="CX356" s="392">
        <f>IF(CX$4="Actuals",CX147,"")</f>
        <v/>
      </c>
      <c r="CY356" s="392">
        <f>IF(CY$4="Actuals",CY147,"")</f>
        <v/>
      </c>
      <c r="CZ356" s="392">
        <f>IF(CZ$4="Actuals",CZ147,"")</f>
        <v/>
      </c>
      <c r="DA356" s="392">
        <f>IF(DA$4="Actuals",DA147,"")</f>
        <v/>
      </c>
      <c r="DB356" s="392">
        <f>IF(DB$4="Actuals",DB147,"")</f>
        <v/>
      </c>
      <c r="DC356" s="392">
        <f>IF(DC$4="Actuals",DC147,"")</f>
        <v/>
      </c>
      <c r="DD356" s="392">
        <f>IF(DD$4="Actuals",DD147,"")</f>
        <v/>
      </c>
      <c r="DE356" s="392">
        <f>IF(DE$4="Actuals",DE147,"")</f>
        <v/>
      </c>
    </row>
    <row r="357" ht="15" customHeight="1" s="410">
      <c r="A357" s="397" t="inlineStr">
        <is>
          <t xml:space="preserve">     (Increase)/decrease in receivables</t>
        </is>
      </c>
      <c r="B357" s="392">
        <f>IF(B300="","",-(SUM(B348:B350)-$B$340))</f>
        <v/>
      </c>
      <c r="C357" s="392">
        <f>IF(C300="","",-(SUM(C348:C350)-SUM(B348:B350)))</f>
        <v/>
      </c>
      <c r="D357" s="392">
        <f>IF(D300="","",-(SUM(D348:D350)-SUM(C348:C350)))</f>
        <v/>
      </c>
      <c r="E357" s="392">
        <f>IF(E300="","",-(SUM(E348:E350)-SUM(D348:D350)))</f>
        <v/>
      </c>
      <c r="F357" s="392">
        <f>IF(F300="","",-(SUM(F348:F350)-SUM(E348:E350)))</f>
        <v/>
      </c>
      <c r="G357" s="392">
        <f>IF(G300="","",-(SUM(G348:G350)-SUM(F348:F350)))</f>
        <v/>
      </c>
      <c r="H357" s="392">
        <f>IF(H300="","",-(SUM(H348:H350)-SUM(G348:G350)))</f>
        <v/>
      </c>
      <c r="I357" s="392">
        <f>IF(I300="","",-(SUM(I348:I350)-SUM(H348:H350)))</f>
        <v/>
      </c>
      <c r="J357" s="392">
        <f>IF(J300="","",-(SUM(J348:J350)-SUM(I348:I350)))</f>
        <v/>
      </c>
      <c r="K357" s="392">
        <f>IF(K300="","",-(SUM(K348:K350)-SUM(J348:J350)))</f>
        <v/>
      </c>
      <c r="L357" s="392">
        <f>IF(L300="","",-(SUM(L348:L350)-SUM(K348:K350)))</f>
        <v/>
      </c>
      <c r="M357" s="392">
        <f>IF(M300="","",-(SUM(M348:M350)-SUM(L348:L350)))</f>
        <v/>
      </c>
      <c r="N357" s="392">
        <f>IF(N300="","",-(SUM(N348:N350)-SUM(M348:M350)))</f>
        <v/>
      </c>
      <c r="O357" s="392">
        <f>IF(O300="","",-(SUM(O348:O350)-SUM(N348:N350)))</f>
        <v/>
      </c>
      <c r="P357" s="392">
        <f>IF(P300="","",-(SUM(P348:P350)-SUM(O348:O350)))</f>
        <v/>
      </c>
      <c r="Q357" s="392">
        <f>IF(Q300="","",-(SUM(Q348:Q350)-SUM(P348:P350)))</f>
        <v/>
      </c>
      <c r="R357" s="392">
        <f>IF(R300="","",-(SUM(R348:R350)-SUM(Q348:Q350)))</f>
        <v/>
      </c>
      <c r="S357" s="392">
        <f>IF(S300="","",-(SUM(S348:S350)-SUM(R348:R350)))</f>
        <v/>
      </c>
      <c r="T357" s="392">
        <f>IF(T300="","",-(SUM(T348:T350)-SUM(S348:S350)))</f>
        <v/>
      </c>
      <c r="U357" s="392">
        <f>IF(U300="","",-(SUM(U348:U350)-SUM(T348:T350)))</f>
        <v/>
      </c>
      <c r="V357" s="392">
        <f>IF(V300="","",-(SUM(V348:V350)-SUM(U348:U350)))</f>
        <v/>
      </c>
      <c r="W357" s="392">
        <f>IF(W300="","",-(SUM(W348:W350)-SUM(V348:V350)))</f>
        <v/>
      </c>
      <c r="X357" s="392">
        <f>IF(X300="","",-(SUM(X348:X350)-SUM(W348:W350)))</f>
        <v/>
      </c>
      <c r="Y357" s="392">
        <f>IF(Y300="","",-(SUM(Y348:Y350)-SUM(X348:X350)))</f>
        <v/>
      </c>
      <c r="Z357" s="392">
        <f>IF(Z300="","",-(SUM(Z348:Z350)-SUM(Y348:Y350)))</f>
        <v/>
      </c>
      <c r="AA357" s="392">
        <f>IF(AA300="","",-(SUM(AA348:AA350)-SUM(Z348:Z350)))</f>
        <v/>
      </c>
      <c r="AB357" s="392">
        <f>IF(AB300="","",-(SUM(AB348:AB350)-SUM(AA348:AA350)))</f>
        <v/>
      </c>
      <c r="AC357" s="392">
        <f>IF(AC300="","",-(SUM(AC348:AC350)-SUM(AB348:AB350)))</f>
        <v/>
      </c>
      <c r="AD357" s="392">
        <f>IF(AD300="","",-(SUM(AD348:AD350)-SUM(AC348:AC350)))</f>
        <v/>
      </c>
      <c r="AE357" s="392">
        <f>IF(AE300="","",-(SUM(AE348:AE350)-SUM(AD348:AD350)))</f>
        <v/>
      </c>
      <c r="AF357" s="392">
        <f>IF(AF300="","",-(SUM(AF348:AF350)-SUM(AE348:AE350)))</f>
        <v/>
      </c>
      <c r="AG357" s="392">
        <f>IF(AG300="","",-(SUM(AG348:AG350)-SUM(AF348:AF350)))</f>
        <v/>
      </c>
      <c r="AH357" s="392">
        <f>IF(AH300="","",-(SUM(AH348:AH350)-SUM(AG348:AG350)))</f>
        <v/>
      </c>
      <c r="AI357" s="392">
        <f>IF(AI300="","",-(SUM(AI348:AI350)-SUM(AH348:AH350)))</f>
        <v/>
      </c>
      <c r="AJ357" s="392">
        <f>IF(AJ300="","",-(SUM(AJ348:AJ350)-SUM(AI348:AI350)))</f>
        <v/>
      </c>
      <c r="AK357" s="392">
        <f>IF(AK300="","",-(SUM(AK348:AK350)-SUM(AJ348:AJ350)))</f>
        <v/>
      </c>
      <c r="AL357" s="392">
        <f>IF(AL300="","",-(SUM(AL348:AL350)-SUM(AK348:AK350)))</f>
        <v/>
      </c>
      <c r="AM357" s="392">
        <f>IF(AM300="","",-(SUM(AM348:AM350)-SUM(AL348:AL350)))</f>
        <v/>
      </c>
      <c r="AN357" s="392">
        <f>IF(AN300="","",-(SUM(AN348:AN350)-SUM(AM348:AM350)))</f>
        <v/>
      </c>
      <c r="AO357" s="392">
        <f>IF(AO300="","",-(SUM(AO348:AO350)-SUM(AN348:AN350)))</f>
        <v/>
      </c>
      <c r="AP357" s="392">
        <f>IF(AP300="","",-(SUM(AP348:AP350)-SUM(AO348:AO350)))</f>
        <v/>
      </c>
      <c r="AQ357" s="392">
        <f>IF(AQ300="","",-(SUM(AQ348:AQ350)-SUM(AP348:AP350)))</f>
        <v/>
      </c>
      <c r="AR357" s="392">
        <f>IF(AR300="","",-(SUM(AR348:AR350)-SUM(AQ348:AQ350)))</f>
        <v/>
      </c>
      <c r="AS357" s="392">
        <f>IF(AS300="","",-(SUM(AS348:AS350)-SUM(AR348:AR350)))</f>
        <v/>
      </c>
      <c r="AT357" s="392">
        <f>IF(AT300="","",-(SUM(AT348:AT350)-SUM(AS348:AS350)))</f>
        <v/>
      </c>
      <c r="AU357" s="392">
        <f>IF(AU300="","",-(SUM(AU348:AU350)-SUM(AT348:AT350)))</f>
        <v/>
      </c>
      <c r="AV357" s="392">
        <f>IF(AV300="","",-(SUM(AV348:AV350)-SUM(AU348:AU350)))</f>
        <v/>
      </c>
      <c r="AW357" s="392">
        <f>IF(AW300="","",-(SUM(AW348:AW350)-SUM(AV348:AV350)))</f>
        <v/>
      </c>
      <c r="AX357" s="392">
        <f>IF(AX300="","",-(SUM(AX348:AX350)-SUM(AW348:AW350)))</f>
        <v/>
      </c>
      <c r="AY357" s="392">
        <f>IF(AY300="","",-(SUM(AY348:AY350)-SUM(AX348:AX350)))</f>
        <v/>
      </c>
      <c r="AZ357" s="392">
        <f>IF(AZ300="","",-(SUM(AZ348:AZ350)-SUM(AY348:AY350)))</f>
        <v/>
      </c>
      <c r="BA357" s="392">
        <f>IF(BA300="","",-(SUM(BA348:BA350)-SUM(AZ348:AZ350)))</f>
        <v/>
      </c>
      <c r="BB357" s="392">
        <f>IF(BB300="","",-(SUM(BB348:BB350)-SUM(BA348:BA350)))</f>
        <v/>
      </c>
      <c r="BC357" s="392">
        <f>IF(BC300="","",-(SUM(BC348:BC350)-SUM(BB348:BB350)))</f>
        <v/>
      </c>
      <c r="BD357" s="392">
        <f>IF(BD300="","",-(SUM(BD348:BD350)-SUM(BC348:BC350)))</f>
        <v/>
      </c>
      <c r="BE357" s="392">
        <f>IF(BE300="","",-(SUM(BE348:BE350)-SUM(BD348:BD350)))</f>
        <v/>
      </c>
      <c r="BF357" s="392">
        <f>IF(BF300="","",-(SUM(BF348:BF350)-SUM(BE348:BE350)))</f>
        <v/>
      </c>
      <c r="BG357" s="392">
        <f>IF(BG300="","",-(SUM(BG348:BG350)-SUM(BF348:BF350)))</f>
        <v/>
      </c>
      <c r="BH357" s="392">
        <f>IF(BH300="","",-(SUM(BH348:BH350)-SUM(BG348:BG350)))</f>
        <v/>
      </c>
      <c r="BI357" s="392">
        <f>IF(BI300="","",-(SUM(BI348:BI350)-SUM(BH348:BH350)))</f>
        <v/>
      </c>
      <c r="BJ357" s="392">
        <f>IF(BJ300="","",-(SUM(BJ348:BJ350)-SUM(BI348:BI350)))</f>
        <v/>
      </c>
      <c r="BK357" s="392">
        <f>IF(BK300="","",-(SUM(BK348:BK350)-SUM(BJ348:BJ350)))</f>
        <v/>
      </c>
      <c r="BL357" s="392">
        <f>IF(BL300="","",-(SUM(BL348:BL350)-SUM(BK348:BK350)))</f>
        <v/>
      </c>
      <c r="BM357" s="392">
        <f>IF(BM300="","",-(SUM(BM348:BM350)-SUM(BL348:BL350)))</f>
        <v/>
      </c>
      <c r="BN357" s="392">
        <f>IF(BN300="","",-(SUM(BN348:BN350)-SUM(BM348:BM350)))</f>
        <v/>
      </c>
      <c r="BO357" s="392">
        <f>IF(BO300="","",-(SUM(BO348:BO350)-SUM(BN348:BN350)))</f>
        <v/>
      </c>
      <c r="BP357" s="392">
        <f>IF(BP300="","",-(SUM(BP348:BP350)-SUM(BO348:BO350)))</f>
        <v/>
      </c>
      <c r="BQ357" s="392">
        <f>IF(BQ300="","",-(SUM(BQ348:BQ350)-SUM(BP348:BP350)))</f>
        <v/>
      </c>
      <c r="BR357" s="392">
        <f>IF(BR300="","",-(SUM(BR348:BR350)-SUM(BQ348:BQ350)))</f>
        <v/>
      </c>
      <c r="BS357" s="392">
        <f>IF(BS300="","",-(SUM(BS348:BS350)-SUM(BR348:BR350)))</f>
        <v/>
      </c>
      <c r="BT357" s="392">
        <f>IF(BT300="","",-(SUM(BT348:BT350)-SUM(BS348:BS350)))</f>
        <v/>
      </c>
      <c r="BU357" s="392">
        <f>IF(BU300="","",-(SUM(BU348:BU350)-SUM(BT348:BT350)))</f>
        <v/>
      </c>
      <c r="BV357" s="392">
        <f>IF(BV300="","",-(SUM(BV348:BV350)-SUM(BU348:BU350)))</f>
        <v/>
      </c>
      <c r="BW357" s="392">
        <f>IF(BW300="","",-(SUM(BW348:BW350)-SUM(BV348:BV350)))</f>
        <v/>
      </c>
      <c r="BX357" s="392">
        <f>IF(BX300="","",-(SUM(BX348:BX350)-SUM(BW348:BW350)))</f>
        <v/>
      </c>
      <c r="BY357" s="392">
        <f>IF(BY300="","",-(SUM(BY348:BY350)-SUM(BX348:BX350)))</f>
        <v/>
      </c>
      <c r="BZ357" s="392">
        <f>IF(BZ300="","",-(SUM(BZ348:BZ350)-SUM(BY348:BY350)))</f>
        <v/>
      </c>
      <c r="CA357" s="392">
        <f>IF(CA300="","",-(SUM(CA348:CA350)-SUM(BZ348:BZ350)))</f>
        <v/>
      </c>
      <c r="CB357" s="392">
        <f>IF(CB300="","",-(SUM(CB348:CB350)-SUM(CA348:CA350)))</f>
        <v/>
      </c>
      <c r="CC357" s="392">
        <f>IF(CC300="","",-(SUM(CC348:CC350)-SUM(CB348:CB350)))</f>
        <v/>
      </c>
      <c r="CD357" s="392">
        <f>IF(CD300="","",-(SUM(CD348:CD350)-SUM(CC348:CC350)))</f>
        <v/>
      </c>
      <c r="CE357" s="392">
        <f>IF(CE300="","",-(SUM(CE348:CE350)-SUM(CD348:CD350)))</f>
        <v/>
      </c>
      <c r="CF357" s="392">
        <f>IF(CF300="","",-(SUM(CF348:CF350)-SUM(CE348:CE350)))</f>
        <v/>
      </c>
      <c r="CG357" s="392">
        <f>IF(CG300="","",-(SUM(CG348:CG350)-SUM(CF348:CF350)))</f>
        <v/>
      </c>
      <c r="CH357" s="392">
        <f>IF(CH300="","",-(SUM(CH348:CH350)-SUM(CG348:CG350)))</f>
        <v/>
      </c>
      <c r="CI357" s="392">
        <f>IF(CI300="","",-(SUM(CI348:CI350)-SUM(CH348:CH350)))</f>
        <v/>
      </c>
      <c r="CJ357" s="392">
        <f>IF(CJ300="","",-(SUM(CJ348:CJ350)-SUM(CI348:CI350)))</f>
        <v/>
      </c>
      <c r="CK357" s="392">
        <f>IF(CK300="","",-(SUM(CK348:CK350)-SUM(CJ348:CJ350)))</f>
        <v/>
      </c>
      <c r="CL357" s="392">
        <f>IF(CL300="","",-(SUM(CL348:CL350)-SUM(CK348:CK350)))</f>
        <v/>
      </c>
      <c r="CM357" s="392">
        <f>IF(CM300="","",-(SUM(CM348:CM350)-SUM(CL348:CL350)))</f>
        <v/>
      </c>
      <c r="CN357" s="392">
        <f>IF(CN300="","",-(SUM(CN348:CN350)-SUM(CM348:CM350)))</f>
        <v/>
      </c>
      <c r="CO357" s="392">
        <f>IF(CO300="","",-(SUM(CO348:CO350)-SUM(CN348:CN350)))</f>
        <v/>
      </c>
      <c r="CP357" s="392">
        <f>IF(CP300="","",-(SUM(CP348:CP350)-SUM(CO348:CO350)))</f>
        <v/>
      </c>
      <c r="CQ357" s="392">
        <f>IF(CQ300="","",-(SUM(CQ348:CQ350)-SUM(CP348:CP350)))</f>
        <v/>
      </c>
      <c r="CR357" s="392">
        <f>IF(CR300="","",-(SUM(CR348:CR350)-SUM(CQ348:CQ350)))</f>
        <v/>
      </c>
      <c r="CS357" s="392">
        <f>IF(CS300="","",-(SUM(CS348:CS350)-SUM(CR348:CR350)))</f>
        <v/>
      </c>
      <c r="CT357" s="392">
        <f>IF(CT300="","",-(SUM(CT348:CT350)-SUM(CS348:CS350)))</f>
        <v/>
      </c>
      <c r="CU357" s="392">
        <f>IF(CU300="","",-(SUM(CU348:CU350)-SUM(CT348:CT350)))</f>
        <v/>
      </c>
      <c r="CV357" s="392">
        <f>IF(CV300="","",-(SUM(CV348:CV350)-SUM(CU348:CU350)))</f>
        <v/>
      </c>
      <c r="CW357" s="392">
        <f>IF(CW300="","",-(SUM(CW348:CW350)-SUM(CV348:CV350)))</f>
        <v/>
      </c>
      <c r="CX357" s="392">
        <f>IF(CX300="","",-(SUM(CX348:CX350)-SUM(CW348:CW350)))</f>
        <v/>
      </c>
      <c r="CY357" s="392">
        <f>IF(CY300="","",-(SUM(CY348:CY350)-SUM(CX348:CX350)))</f>
        <v/>
      </c>
      <c r="CZ357" s="392">
        <f>IF(CZ300="","",-(SUM(CZ348:CZ350)-SUM(CY348:CY350)))</f>
        <v/>
      </c>
      <c r="DA357" s="392">
        <f>IF(DA300="","",-(SUM(DA348:DA350)-SUM(CZ348:CZ350)))</f>
        <v/>
      </c>
      <c r="DB357" s="392">
        <f>IF(DB300="","",-(SUM(DB348:DB350)-SUM(DA348:DA350)))</f>
        <v/>
      </c>
      <c r="DC357" s="392">
        <f>IF(DC300="","",-(SUM(DC348:DC350)-SUM(DB348:DB350)))</f>
        <v/>
      </c>
      <c r="DD357" s="392">
        <f>IF(DD300="","",-(SUM(DD348:DD350)-SUM(DC348:DC350)))</f>
        <v/>
      </c>
      <c r="DE357" s="392">
        <f>IF(DE300="","",-(SUM(DE348:DE350)-SUM(DD348:DD350)))</f>
        <v/>
      </c>
    </row>
    <row r="358" ht="15" customHeight="1" s="410">
      <c r="A358" s="397" t="inlineStr">
        <is>
          <t xml:space="preserve">     Increase/(decrease) in payables</t>
        </is>
      </c>
      <c r="B358" s="392">
        <f>IF(B300="","",SUM(B351:B352)-$B$341)</f>
        <v/>
      </c>
      <c r="C358" s="392">
        <f>IF(C300="","",SUM(C351:C352)-SUM(B351:B352))</f>
        <v/>
      </c>
      <c r="D358" s="392">
        <f>IF(D300="","",SUM(D351:D352)-SUM(C351:C352))</f>
        <v/>
      </c>
      <c r="E358" s="392">
        <f>IF(E300="","",SUM(E351:E352)-SUM(D351:D352))</f>
        <v/>
      </c>
      <c r="F358" s="392">
        <f>IF(F300="","",SUM(F351:F352)-SUM(E351:E352))</f>
        <v/>
      </c>
      <c r="G358" s="392">
        <f>IF(G300="","",SUM(G351:G352)-SUM(F351:F352))</f>
        <v/>
      </c>
      <c r="H358" s="392">
        <f>IF(H300="","",SUM(H351:H352)-SUM(G351:G352))</f>
        <v/>
      </c>
      <c r="I358" s="392">
        <f>IF(I300="","",SUM(I351:I352)-SUM(H351:H352))</f>
        <v/>
      </c>
      <c r="J358" s="392">
        <f>IF(J300="","",SUM(J351:J352)-SUM(I351:I352))</f>
        <v/>
      </c>
      <c r="K358" s="392">
        <f>IF(K300="","",SUM(K351:K352)-SUM(J351:J352))</f>
        <v/>
      </c>
      <c r="L358" s="392">
        <f>IF(L300="","",SUM(L351:L352)-SUM(K351:K352))</f>
        <v/>
      </c>
      <c r="M358" s="392">
        <f>IF(M300="","",SUM(M351:M352)-SUM(L351:L352))</f>
        <v/>
      </c>
      <c r="N358" s="392">
        <f>IF(N300="","",SUM(N351:N352)-SUM(M351:M352))</f>
        <v/>
      </c>
      <c r="O358" s="392">
        <f>IF(O300="","",SUM(O351:O352)-SUM(N351:N352))</f>
        <v/>
      </c>
      <c r="P358" s="392">
        <f>IF(P300="","",SUM(P351:P352)-SUM(O351:O352))</f>
        <v/>
      </c>
      <c r="Q358" s="392">
        <f>IF(Q300="","",SUM(Q351:Q352)-SUM(P351:P352))</f>
        <v/>
      </c>
      <c r="R358" s="392">
        <f>IF(R300="","",SUM(R351:R352)-SUM(Q351:Q352))</f>
        <v/>
      </c>
      <c r="S358" s="392">
        <f>IF(S300="","",SUM(S351:S352)-SUM(R351:R352))</f>
        <v/>
      </c>
      <c r="T358" s="392">
        <f>IF(T300="","",SUM(T351:T352)-SUM(S351:S352))</f>
        <v/>
      </c>
      <c r="U358" s="392">
        <f>IF(U300="","",SUM(U351:U352)-SUM(T351:T352))</f>
        <v/>
      </c>
      <c r="V358" s="392">
        <f>IF(V300="","",SUM(V351:V352)-SUM(U351:U352))</f>
        <v/>
      </c>
      <c r="W358" s="392">
        <f>IF(W300="","",SUM(W351:W352)-SUM(V351:V352))</f>
        <v/>
      </c>
      <c r="X358" s="392">
        <f>IF(X300="","",SUM(X351:X352)-SUM(W351:W352))</f>
        <v/>
      </c>
      <c r="Y358" s="392">
        <f>IF(Y300="","",SUM(Y351:Y352)-SUM(X351:X352))</f>
        <v/>
      </c>
      <c r="Z358" s="392">
        <f>IF(Z300="","",SUM(Z351:Z352)-SUM(Y351:Y352))</f>
        <v/>
      </c>
      <c r="AA358" s="392">
        <f>IF(AA300="","",SUM(AA351:AA352)-SUM(Z351:Z352))</f>
        <v/>
      </c>
      <c r="AB358" s="392">
        <f>IF(AB300="","",SUM(AB351:AB352)-SUM(AA351:AA352))</f>
        <v/>
      </c>
      <c r="AC358" s="392">
        <f>IF(AC300="","",SUM(AC351:AC352)-SUM(AB351:AB352))</f>
        <v/>
      </c>
      <c r="AD358" s="392">
        <f>IF(AD300="","",SUM(AD351:AD352)-SUM(AC351:AC352))</f>
        <v/>
      </c>
      <c r="AE358" s="392">
        <f>IF(AE300="","",SUM(AE351:AE352)-SUM(AD351:AD352))</f>
        <v/>
      </c>
      <c r="AF358" s="392">
        <f>IF(AF300="","",SUM(AF351:AF352)-SUM(AE351:AE352))</f>
        <v/>
      </c>
      <c r="AG358" s="392">
        <f>IF(AG300="","",SUM(AG351:AG352)-SUM(AF351:AF352))</f>
        <v/>
      </c>
      <c r="AH358" s="392">
        <f>IF(AH300="","",SUM(AH351:AH352)-SUM(AG351:AG352))</f>
        <v/>
      </c>
      <c r="AI358" s="392">
        <f>IF(AI300="","",SUM(AI351:AI352)-SUM(AH351:AH352))</f>
        <v/>
      </c>
      <c r="AJ358" s="392">
        <f>IF(AJ300="","",SUM(AJ351:AJ352)-SUM(AI351:AI352))</f>
        <v/>
      </c>
      <c r="AK358" s="392">
        <f>IF(AK300="","",SUM(AK351:AK352)-SUM(AJ351:AJ352))</f>
        <v/>
      </c>
      <c r="AL358" s="392">
        <f>IF(AL300="","",SUM(AL351:AL352)-SUM(AK351:AK352))</f>
        <v/>
      </c>
      <c r="AM358" s="392">
        <f>IF(AM300="","",SUM(AM351:AM352)-SUM(AL351:AL352))</f>
        <v/>
      </c>
      <c r="AN358" s="392">
        <f>IF(AN300="","",SUM(AN351:AN352)-SUM(AM351:AM352))</f>
        <v/>
      </c>
      <c r="AO358" s="392">
        <f>IF(AO300="","",SUM(AO351:AO352)-SUM(AN351:AN352))</f>
        <v/>
      </c>
      <c r="AP358" s="392">
        <f>IF(AP300="","",SUM(AP351:AP352)-SUM(AO351:AO352))</f>
        <v/>
      </c>
      <c r="AQ358" s="392">
        <f>IF(AQ300="","",SUM(AQ351:AQ352)-SUM(AP351:AP352))</f>
        <v/>
      </c>
      <c r="AR358" s="392">
        <f>IF(AR300="","",SUM(AR351:AR352)-SUM(AQ351:AQ352))</f>
        <v/>
      </c>
      <c r="AS358" s="392">
        <f>IF(AS300="","",SUM(AS351:AS352)-SUM(AR351:AR352))</f>
        <v/>
      </c>
      <c r="AT358" s="392">
        <f>IF(AT300="","",SUM(AT351:AT352)-SUM(AS351:AS352))</f>
        <v/>
      </c>
      <c r="AU358" s="392">
        <f>IF(AU300="","",SUM(AU351:AU352)-SUM(AT351:AT352))</f>
        <v/>
      </c>
      <c r="AV358" s="392">
        <f>IF(AV300="","",SUM(AV351:AV352)-SUM(AU351:AU352))</f>
        <v/>
      </c>
      <c r="AW358" s="392">
        <f>IF(AW300="","",SUM(AW351:AW352)-SUM(AV351:AV352))</f>
        <v/>
      </c>
      <c r="AX358" s="392">
        <f>IF(AX300="","",SUM(AX351:AX352)-SUM(AW351:AW352))</f>
        <v/>
      </c>
      <c r="AY358" s="392">
        <f>IF(AY300="","",SUM(AY351:AY352)-SUM(AX351:AX352))</f>
        <v/>
      </c>
      <c r="AZ358" s="392">
        <f>IF(AZ300="","",SUM(AZ351:AZ352)-SUM(AY351:AY352))</f>
        <v/>
      </c>
      <c r="BA358" s="392">
        <f>IF(BA300="","",SUM(BA351:BA352)-SUM(AZ351:AZ352))</f>
        <v/>
      </c>
      <c r="BB358" s="392">
        <f>IF(BB300="","",SUM(BB351:BB352)-SUM(BA351:BA352))</f>
        <v/>
      </c>
      <c r="BC358" s="392">
        <f>IF(BC300="","",SUM(BC351:BC352)-SUM(BB351:BB352))</f>
        <v/>
      </c>
      <c r="BD358" s="392">
        <f>IF(BD300="","",SUM(BD351:BD352)-SUM(BC351:BC352))</f>
        <v/>
      </c>
      <c r="BE358" s="392">
        <f>IF(BE300="","",SUM(BE351:BE352)-SUM(BD351:BD352))</f>
        <v/>
      </c>
      <c r="BF358" s="392">
        <f>IF(BF300="","",SUM(BF351:BF352)-SUM(BE351:BE352))</f>
        <v/>
      </c>
      <c r="BG358" s="392">
        <f>IF(BG300="","",SUM(BG351:BG352)-SUM(BF351:BF352))</f>
        <v/>
      </c>
      <c r="BH358" s="392">
        <f>IF(BH300="","",SUM(BH351:BH352)-SUM(BG351:BG352))</f>
        <v/>
      </c>
      <c r="BI358" s="392">
        <f>IF(BI300="","",SUM(BI351:BI352)-SUM(BH351:BH352))</f>
        <v/>
      </c>
      <c r="BJ358" s="392">
        <f>IF(BJ300="","",SUM(BJ351:BJ352)-SUM(BI351:BI352))</f>
        <v/>
      </c>
      <c r="BK358" s="392">
        <f>IF(BK300="","",SUM(BK351:BK352)-SUM(BJ351:BJ352))</f>
        <v/>
      </c>
      <c r="BL358" s="392">
        <f>IF(BL300="","",SUM(BL351:BL352)-SUM(BK351:BK352))</f>
        <v/>
      </c>
      <c r="BM358" s="392">
        <f>IF(BM300="","",SUM(BM351:BM352)-SUM(BL351:BL352))</f>
        <v/>
      </c>
      <c r="BN358" s="392">
        <f>IF(BN300="","",SUM(BN351:BN352)-SUM(BM351:BM352))</f>
        <v/>
      </c>
      <c r="BO358" s="392">
        <f>IF(BO300="","",SUM(BO351:BO352)-SUM(BN351:BN352))</f>
        <v/>
      </c>
      <c r="BP358" s="392">
        <f>IF(BP300="","",SUM(BP351:BP352)-SUM(BO351:BO352))</f>
        <v/>
      </c>
      <c r="BQ358" s="392">
        <f>IF(BQ300="","",SUM(BQ351:BQ352)-SUM(BP351:BP352))</f>
        <v/>
      </c>
      <c r="BR358" s="392">
        <f>IF(BR300="","",SUM(BR351:BR352)-SUM(BQ351:BQ352))</f>
        <v/>
      </c>
      <c r="BS358" s="392">
        <f>IF(BS300="","",SUM(BS351:BS352)-SUM(BR351:BR352))</f>
        <v/>
      </c>
      <c r="BT358" s="392">
        <f>IF(BT300="","",SUM(BT351:BT352)-SUM(BS351:BS352))</f>
        <v/>
      </c>
      <c r="BU358" s="392">
        <f>IF(BU300="","",SUM(BU351:BU352)-SUM(BT351:BT352))</f>
        <v/>
      </c>
      <c r="BV358" s="392">
        <f>IF(BV300="","",SUM(BV351:BV352)-SUM(BU351:BU352))</f>
        <v/>
      </c>
      <c r="BW358" s="392">
        <f>IF(BW300="","",SUM(BW351:BW352)-SUM(BV351:BV352))</f>
        <v/>
      </c>
      <c r="BX358" s="392">
        <f>IF(BX300="","",SUM(BX351:BX352)-SUM(BW351:BW352))</f>
        <v/>
      </c>
      <c r="BY358" s="392">
        <f>IF(BY300="","",SUM(BY351:BY352)-SUM(BX351:BX352))</f>
        <v/>
      </c>
      <c r="BZ358" s="392">
        <f>IF(BZ300="","",SUM(BZ351:BZ352)-SUM(BY351:BY352))</f>
        <v/>
      </c>
      <c r="CA358" s="392">
        <f>IF(CA300="","",SUM(CA351:CA352)-SUM(BZ351:BZ352))</f>
        <v/>
      </c>
      <c r="CB358" s="392">
        <f>IF(CB300="","",SUM(CB351:CB352)-SUM(CA351:CA352))</f>
        <v/>
      </c>
      <c r="CC358" s="392">
        <f>IF(CC300="","",SUM(CC351:CC352)-SUM(CB351:CB352))</f>
        <v/>
      </c>
      <c r="CD358" s="392">
        <f>IF(CD300="","",SUM(CD351:CD352)-SUM(CC351:CC352))</f>
        <v/>
      </c>
      <c r="CE358" s="392">
        <f>IF(CE300="","",SUM(CE351:CE352)-SUM(CD351:CD352))</f>
        <v/>
      </c>
      <c r="CF358" s="392">
        <f>IF(CF300="","",SUM(CF351:CF352)-SUM(CE351:CE352))</f>
        <v/>
      </c>
      <c r="CG358" s="392">
        <f>IF(CG300="","",SUM(CG351:CG352)-SUM(CF351:CF352))</f>
        <v/>
      </c>
      <c r="CH358" s="392">
        <f>IF(CH300="","",SUM(CH351:CH352)-SUM(CG351:CG352))</f>
        <v/>
      </c>
      <c r="CI358" s="392">
        <f>IF(CI300="","",SUM(CI351:CI352)-SUM(CH351:CH352))</f>
        <v/>
      </c>
      <c r="CJ358" s="392">
        <f>IF(CJ300="","",SUM(CJ351:CJ352)-SUM(CI351:CI352))</f>
        <v/>
      </c>
      <c r="CK358" s="392">
        <f>IF(CK300="","",SUM(CK351:CK352)-SUM(CJ351:CJ352))</f>
        <v/>
      </c>
      <c r="CL358" s="392">
        <f>IF(CL300="","",SUM(CL351:CL352)-SUM(CK351:CK352))</f>
        <v/>
      </c>
      <c r="CM358" s="392">
        <f>IF(CM300="","",SUM(CM351:CM352)-SUM(CL351:CL352))</f>
        <v/>
      </c>
      <c r="CN358" s="392">
        <f>IF(CN300="","",SUM(CN351:CN352)-SUM(CM351:CM352))</f>
        <v/>
      </c>
      <c r="CO358" s="392">
        <f>IF(CO300="","",SUM(CO351:CO352)-SUM(CN351:CN352))</f>
        <v/>
      </c>
      <c r="CP358" s="392">
        <f>IF(CP300="","",SUM(CP351:CP352)-SUM(CO351:CO352))</f>
        <v/>
      </c>
      <c r="CQ358" s="392">
        <f>IF(CQ300="","",SUM(CQ351:CQ352)-SUM(CP351:CP352))</f>
        <v/>
      </c>
      <c r="CR358" s="392">
        <f>IF(CR300="","",SUM(CR351:CR352)-SUM(CQ351:CQ352))</f>
        <v/>
      </c>
      <c r="CS358" s="392">
        <f>IF(CS300="","",SUM(CS351:CS352)-SUM(CR351:CR352))</f>
        <v/>
      </c>
      <c r="CT358" s="392">
        <f>IF(CT300="","",SUM(CT351:CT352)-SUM(CS351:CS352))</f>
        <v/>
      </c>
      <c r="CU358" s="392">
        <f>IF(CU300="","",SUM(CU351:CU352)-SUM(CT351:CT352))</f>
        <v/>
      </c>
      <c r="CV358" s="392">
        <f>IF(CV300="","",SUM(CV351:CV352)-SUM(CU351:CU352))</f>
        <v/>
      </c>
      <c r="CW358" s="392">
        <f>IF(CW300="","",SUM(CW351:CW352)-SUM(CV351:CV352))</f>
        <v/>
      </c>
      <c r="CX358" s="392">
        <f>IF(CX300="","",SUM(CX351:CX352)-SUM(CW351:CW352))</f>
        <v/>
      </c>
      <c r="CY358" s="392">
        <f>IF(CY300="","",SUM(CY351:CY352)-SUM(CX351:CX352))</f>
        <v/>
      </c>
      <c r="CZ358" s="392">
        <f>IF(CZ300="","",SUM(CZ351:CZ352)-SUM(CY351:CY352))</f>
        <v/>
      </c>
      <c r="DA358" s="392">
        <f>IF(DA300="","",SUM(DA351:DA352)-SUM(CZ351:CZ352))</f>
        <v/>
      </c>
      <c r="DB358" s="392">
        <f>IF(DB300="","",SUM(DB351:DB352)-SUM(DA351:DA352))</f>
        <v/>
      </c>
      <c r="DC358" s="392">
        <f>IF(DC300="","",SUM(DC351:DC352)-SUM(DB351:DB352))</f>
        <v/>
      </c>
      <c r="DD358" s="392">
        <f>IF(DD300="","",SUM(DD351:DD352)-SUM(DC351:DC352))</f>
        <v/>
      </c>
      <c r="DE358" s="392">
        <f>IF(DE300="","",SUM(DE351:DE352)-SUM(DD351:DD352))</f>
        <v/>
      </c>
    </row>
    <row r="359" ht="15" customHeight="1" s="410">
      <c r="A359" s="397" t="inlineStr">
        <is>
          <t xml:space="preserve">     Other (deferred revenue, prepaids, fixed assets, org costs, capital) — plug</t>
        </is>
      </c>
      <c r="B359" s="392">
        <f>IF(B300="","",B300-B355-B356-B357-B358)</f>
        <v/>
      </c>
      <c r="C359" s="392">
        <f>IF(C300="","",C300-C355-C356-C357-C358)</f>
        <v/>
      </c>
      <c r="D359" s="392">
        <f>IF(D300="","",D300-D355-D356-D357-D358)</f>
        <v/>
      </c>
      <c r="E359" s="392">
        <f>IF(E300="","",E300-E355-E356-E357-E358)</f>
        <v/>
      </c>
      <c r="F359" s="392">
        <f>IF(F300="","",F300-F355-F356-F357-F358)</f>
        <v/>
      </c>
      <c r="G359" s="392">
        <f>IF(G300="","",G300-G355-G356-G357-G358)</f>
        <v/>
      </c>
      <c r="H359" s="392">
        <f>IF(H300="","",H300-H355-H356-H357-H358)</f>
        <v/>
      </c>
      <c r="I359" s="392">
        <f>IF(I300="","",I300-I355-I356-I357-I358)</f>
        <v/>
      </c>
      <c r="J359" s="392">
        <f>IF(J300="","",J300-J355-J356-J357-J358)</f>
        <v/>
      </c>
      <c r="K359" s="392">
        <f>IF(K300="","",K300-K355-K356-K357-K358)</f>
        <v/>
      </c>
      <c r="L359" s="392">
        <f>IF(L300="","",L300-L355-L356-L357-L358)</f>
        <v/>
      </c>
      <c r="M359" s="392">
        <f>IF(M300="","",M300-M355-M356-M357-M358)</f>
        <v/>
      </c>
      <c r="N359" s="392">
        <f>IF(N300="","",N300-N355-N356-N357-N358)</f>
        <v/>
      </c>
      <c r="O359" s="392">
        <f>IF(O300="","",O300-O355-O356-O357-O358)</f>
        <v/>
      </c>
      <c r="P359" s="392">
        <f>IF(P300="","",P300-P355-P356-P357-P358)</f>
        <v/>
      </c>
      <c r="Q359" s="392">
        <f>IF(Q300="","",Q300-Q355-Q356-Q357-Q358)</f>
        <v/>
      </c>
      <c r="R359" s="392">
        <f>IF(R300="","",R300-R355-R356-R357-R358)</f>
        <v/>
      </c>
      <c r="S359" s="392">
        <f>IF(S300="","",S300-S355-S356-S357-S358)</f>
        <v/>
      </c>
      <c r="T359" s="392">
        <f>IF(T300="","",T300-T355-T356-T357-T358)</f>
        <v/>
      </c>
      <c r="U359" s="392">
        <f>IF(U300="","",U300-U355-U356-U357-U358)</f>
        <v/>
      </c>
      <c r="V359" s="392">
        <f>IF(V300="","",V300-V355-V356-V357-V358)</f>
        <v/>
      </c>
      <c r="W359" s="392">
        <f>IF(W300="","",W300-W355-W356-W357-W358)</f>
        <v/>
      </c>
      <c r="X359" s="392">
        <f>IF(X300="","",X300-X355-X356-X357-X358)</f>
        <v/>
      </c>
      <c r="Y359" s="392">
        <f>IF(Y300="","",Y300-Y355-Y356-Y357-Y358)</f>
        <v/>
      </c>
      <c r="Z359" s="392">
        <f>IF(Z300="","",Z300-Z355-Z356-Z357-Z358)</f>
        <v/>
      </c>
      <c r="AA359" s="392">
        <f>IF(AA300="","",AA300-AA355-AA356-AA357-AA358)</f>
        <v/>
      </c>
      <c r="AB359" s="392">
        <f>IF(AB300="","",AB300-AB355-AB356-AB357-AB358)</f>
        <v/>
      </c>
      <c r="AC359" s="392">
        <f>IF(AC300="","",AC300-AC355-AC356-AC357-AC358)</f>
        <v/>
      </c>
      <c r="AD359" s="392">
        <f>IF(AD300="","",AD300-AD355-AD356-AD357-AD358)</f>
        <v/>
      </c>
      <c r="AE359" s="392">
        <f>IF(AE300="","",AE300-AE355-AE356-AE357-AE358)</f>
        <v/>
      </c>
      <c r="AF359" s="392">
        <f>IF(AF300="","",AF300-AF355-AF356-AF357-AF358)</f>
        <v/>
      </c>
      <c r="AG359" s="392">
        <f>IF(AG300="","",AG300-AG355-AG356-AG357-AG358)</f>
        <v/>
      </c>
      <c r="AH359" s="392">
        <f>IF(AH300="","",AH300-AH355-AH356-AH357-AH358)</f>
        <v/>
      </c>
      <c r="AI359" s="392">
        <f>IF(AI300="","",AI300-AI355-AI356-AI357-AI358)</f>
        <v/>
      </c>
      <c r="AJ359" s="392">
        <f>IF(AJ300="","",AJ300-AJ355-AJ356-AJ357-AJ358)</f>
        <v/>
      </c>
      <c r="AK359" s="392">
        <f>IF(AK300="","",AK300-AK355-AK356-AK357-AK358)</f>
        <v/>
      </c>
      <c r="AL359" s="392">
        <f>IF(AL300="","",AL300-AL355-AL356-AL357-AL358)</f>
        <v/>
      </c>
      <c r="AM359" s="392">
        <f>IF(AM300="","",AM300-AM355-AM356-AM357-AM358)</f>
        <v/>
      </c>
      <c r="AN359" s="392">
        <f>IF(AN300="","",AN300-AN355-AN356-AN357-AN358)</f>
        <v/>
      </c>
      <c r="AO359" s="392">
        <f>IF(AO300="","",AO300-AO355-AO356-AO357-AO358)</f>
        <v/>
      </c>
      <c r="AP359" s="392">
        <f>IF(AP300="","",AP300-AP355-AP356-AP357-AP358)</f>
        <v/>
      </c>
      <c r="AQ359" s="392">
        <f>IF(AQ300="","",AQ300-AQ355-AQ356-AQ357-AQ358)</f>
        <v/>
      </c>
      <c r="AR359" s="392">
        <f>IF(AR300="","",AR300-AR355-AR356-AR357-AR358)</f>
        <v/>
      </c>
      <c r="AS359" s="392">
        <f>IF(AS300="","",AS300-AS355-AS356-AS357-AS358)</f>
        <v/>
      </c>
      <c r="AT359" s="392">
        <f>IF(AT300="","",AT300-AT355-AT356-AT357-AT358)</f>
        <v/>
      </c>
      <c r="AU359" s="392">
        <f>IF(AU300="","",AU300-AU355-AU356-AU357-AU358)</f>
        <v/>
      </c>
      <c r="AV359" s="392">
        <f>IF(AV300="","",AV300-AV355-AV356-AV357-AV358)</f>
        <v/>
      </c>
      <c r="AW359" s="392">
        <f>IF(AW300="","",AW300-AW355-AW356-AW357-AW358)</f>
        <v/>
      </c>
      <c r="AX359" s="392">
        <f>IF(AX300="","",AX300-AX355-AX356-AX357-AX358)</f>
        <v/>
      </c>
      <c r="AY359" s="392">
        <f>IF(AY300="","",AY300-AY355-AY356-AY357-AY358)</f>
        <v/>
      </c>
      <c r="AZ359" s="392">
        <f>IF(AZ300="","",AZ300-AZ355-AZ356-AZ357-AZ358)</f>
        <v/>
      </c>
      <c r="BA359" s="392">
        <f>IF(BA300="","",BA300-BA355-BA356-BA357-BA358)</f>
        <v/>
      </c>
      <c r="BB359" s="392">
        <f>IF(BB300="","",BB300-BB355-BB356-BB357-BB358)</f>
        <v/>
      </c>
      <c r="BC359" s="392">
        <f>IF(BC300="","",BC300-BC355-BC356-BC357-BC358)</f>
        <v/>
      </c>
      <c r="BD359" s="392">
        <f>IF(BD300="","",BD300-BD355-BD356-BD357-BD358)</f>
        <v/>
      </c>
      <c r="BE359" s="392">
        <f>IF(BE300="","",BE300-BE355-BE356-BE357-BE358)</f>
        <v/>
      </c>
      <c r="BF359" s="392">
        <f>IF(BF300="","",BF300-BF355-BF356-BF357-BF358)</f>
        <v/>
      </c>
      <c r="BG359" s="392">
        <f>IF(BG300="","",BG300-BG355-BG356-BG357-BG358)</f>
        <v/>
      </c>
      <c r="BH359" s="392">
        <f>IF(BH300="","",BH300-BH355-BH356-BH357-BH358)</f>
        <v/>
      </c>
      <c r="BI359" s="392">
        <f>IF(BI300="","",BI300-BI355-BI356-BI357-BI358)</f>
        <v/>
      </c>
      <c r="BJ359" s="392">
        <f>IF(BJ300="","",BJ300-BJ355-BJ356-BJ357-BJ358)</f>
        <v/>
      </c>
      <c r="BK359" s="392">
        <f>IF(BK300="","",BK300-BK355-BK356-BK357-BK358)</f>
        <v/>
      </c>
      <c r="BL359" s="392">
        <f>IF(BL300="","",BL300-BL355-BL356-BL357-BL358)</f>
        <v/>
      </c>
      <c r="BM359" s="392">
        <f>IF(BM300="","",BM300-BM355-BM356-BM357-BM358)</f>
        <v/>
      </c>
      <c r="BN359" s="392">
        <f>IF(BN300="","",BN300-BN355-BN356-BN357-BN358)</f>
        <v/>
      </c>
      <c r="BO359" s="392">
        <f>IF(BO300="","",BO300-BO355-BO356-BO357-BO358)</f>
        <v/>
      </c>
      <c r="BP359" s="392">
        <f>IF(BP300="","",BP300-BP355-BP356-BP357-BP358)</f>
        <v/>
      </c>
      <c r="BQ359" s="392">
        <f>IF(BQ300="","",BQ300-BQ355-BQ356-BQ357-BQ358)</f>
        <v/>
      </c>
      <c r="BR359" s="392">
        <f>IF(BR300="","",BR300-BR355-BR356-BR357-BR358)</f>
        <v/>
      </c>
      <c r="BS359" s="392">
        <f>IF(BS300="","",BS300-BS355-BS356-BS357-BS358)</f>
        <v/>
      </c>
      <c r="BT359" s="392">
        <f>IF(BT300="","",BT300-BT355-BT356-BT357-BT358)</f>
        <v/>
      </c>
      <c r="BU359" s="392">
        <f>IF(BU300="","",BU300-BU355-BU356-BU357-BU358)</f>
        <v/>
      </c>
      <c r="BV359" s="392">
        <f>IF(BV300="","",BV300-BV355-BV356-BV357-BV358)</f>
        <v/>
      </c>
      <c r="BW359" s="392">
        <f>IF(BW300="","",BW300-BW355-BW356-BW357-BW358)</f>
        <v/>
      </c>
      <c r="BX359" s="392">
        <f>IF(BX300="","",BX300-BX355-BX356-BX357-BX358)</f>
        <v/>
      </c>
      <c r="BY359" s="392">
        <f>IF(BY300="","",BY300-BY355-BY356-BY357-BY358)</f>
        <v/>
      </c>
      <c r="BZ359" s="392">
        <f>IF(BZ300="","",BZ300-BZ355-BZ356-BZ357-BZ358)</f>
        <v/>
      </c>
      <c r="CA359" s="392">
        <f>IF(CA300="","",CA300-CA355-CA356-CA357-CA358)</f>
        <v/>
      </c>
      <c r="CB359" s="392">
        <f>IF(CB300="","",CB300-CB355-CB356-CB357-CB358)</f>
        <v/>
      </c>
      <c r="CC359" s="392">
        <f>IF(CC300="","",CC300-CC355-CC356-CC357-CC358)</f>
        <v/>
      </c>
      <c r="CD359" s="392">
        <f>IF(CD300="","",CD300-CD355-CD356-CD357-CD358)</f>
        <v/>
      </c>
      <c r="CE359" s="392">
        <f>IF(CE300="","",CE300-CE355-CE356-CE357-CE358)</f>
        <v/>
      </c>
      <c r="CF359" s="392">
        <f>IF(CF300="","",CF300-CF355-CF356-CF357-CF358)</f>
        <v/>
      </c>
      <c r="CG359" s="392">
        <f>IF(CG300="","",CG300-CG355-CG356-CG357-CG358)</f>
        <v/>
      </c>
      <c r="CH359" s="392">
        <f>IF(CH300="","",CH300-CH355-CH356-CH357-CH358)</f>
        <v/>
      </c>
      <c r="CI359" s="392">
        <f>IF(CI300="","",CI300-CI355-CI356-CI357-CI358)</f>
        <v/>
      </c>
      <c r="CJ359" s="392">
        <f>IF(CJ300="","",CJ300-CJ355-CJ356-CJ357-CJ358)</f>
        <v/>
      </c>
      <c r="CK359" s="392">
        <f>IF(CK300="","",CK300-CK355-CK356-CK357-CK358)</f>
        <v/>
      </c>
      <c r="CL359" s="392">
        <f>IF(CL300="","",CL300-CL355-CL356-CL357-CL358)</f>
        <v/>
      </c>
      <c r="CM359" s="392">
        <f>IF(CM300="","",CM300-CM355-CM356-CM357-CM358)</f>
        <v/>
      </c>
      <c r="CN359" s="392">
        <f>IF(CN300="","",CN300-CN355-CN356-CN357-CN358)</f>
        <v/>
      </c>
      <c r="CO359" s="392">
        <f>IF(CO300="","",CO300-CO355-CO356-CO357-CO358)</f>
        <v/>
      </c>
      <c r="CP359" s="392">
        <f>IF(CP300="","",CP300-CP355-CP356-CP357-CP358)</f>
        <v/>
      </c>
      <c r="CQ359" s="392">
        <f>IF(CQ300="","",CQ300-CQ355-CQ356-CQ357-CQ358)</f>
        <v/>
      </c>
      <c r="CR359" s="392">
        <f>IF(CR300="","",CR300-CR355-CR356-CR357-CR358)</f>
        <v/>
      </c>
      <c r="CS359" s="392">
        <f>IF(CS300="","",CS300-CS355-CS356-CS357-CS358)</f>
        <v/>
      </c>
      <c r="CT359" s="392">
        <f>IF(CT300="","",CT300-CT355-CT356-CT357-CT358)</f>
        <v/>
      </c>
      <c r="CU359" s="392">
        <f>IF(CU300="","",CU300-CU355-CU356-CU357-CU358)</f>
        <v/>
      </c>
      <c r="CV359" s="392">
        <f>IF(CV300="","",CV300-CV355-CV356-CV357-CV358)</f>
        <v/>
      </c>
      <c r="CW359" s="392">
        <f>IF(CW300="","",CW300-CW355-CW356-CW357-CW358)</f>
        <v/>
      </c>
      <c r="CX359" s="392">
        <f>IF(CX300="","",CX300-CX355-CX356-CX357-CX358)</f>
        <v/>
      </c>
      <c r="CY359" s="392">
        <f>IF(CY300="","",CY300-CY355-CY356-CY357-CY358)</f>
        <v/>
      </c>
      <c r="CZ359" s="392">
        <f>IF(CZ300="","",CZ300-CZ355-CZ356-CZ357-CZ358)</f>
        <v/>
      </c>
      <c r="DA359" s="392">
        <f>IF(DA300="","",DA300-DA355-DA356-DA357-DA358)</f>
        <v/>
      </c>
      <c r="DB359" s="392">
        <f>IF(DB300="","",DB300-DB355-DB356-DB357-DB358)</f>
        <v/>
      </c>
      <c r="DC359" s="392">
        <f>IF(DC300="","",DC300-DC355-DC356-DC357-DC358)</f>
        <v/>
      </c>
      <c r="DD359" s="392">
        <f>IF(DD300="","",DD300-DD355-DD356-DD357-DD358)</f>
        <v/>
      </c>
      <c r="DE359" s="392">
        <f>IF(DE300="","",DE300-DE355-DE356-DE357-DE358)</f>
        <v/>
      </c>
    </row>
    <row r="360" ht="15" customHeight="1" s="410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5" customHeight="1" s="410">
      <c r="A361" s="397" t="inlineStr">
        <is>
          <t xml:space="preserve">     Cash change less net income (working capital + other)</t>
        </is>
      </c>
      <c r="B361" s="392">
        <f>IF(B300="","",B300-B355-B356)</f>
        <v/>
      </c>
      <c r="C361" s="392">
        <f>IF(C300="","",C300-C355-C356)</f>
        <v/>
      </c>
      <c r="D361" s="392">
        <f>IF(D300="","",D300-D355-D356)</f>
        <v/>
      </c>
      <c r="E361" s="392">
        <f>IF(E300="","",E300-E355-E356)</f>
        <v/>
      </c>
      <c r="F361" s="392">
        <f>IF(F300="","",F300-F355-F356)</f>
        <v/>
      </c>
      <c r="G361" s="392">
        <f>IF(G300="","",G300-G355-G356)</f>
        <v/>
      </c>
      <c r="H361" s="392">
        <f>IF(H300="","",H300-H355-H356)</f>
        <v/>
      </c>
      <c r="I361" s="392">
        <f>IF(I300="","",I300-I355-I356)</f>
        <v/>
      </c>
      <c r="J361" s="392">
        <f>IF(J300="","",J300-J355-J356)</f>
        <v/>
      </c>
      <c r="K361" s="392">
        <f>IF(K300="","",K300-K355-K356)</f>
        <v/>
      </c>
      <c r="L361" s="392">
        <f>IF(L300="","",L300-L355-L356)</f>
        <v/>
      </c>
      <c r="M361" s="392">
        <f>IF(M300="","",M300-M355-M356)</f>
        <v/>
      </c>
      <c r="N361" s="392">
        <f>IF(N300="","",N300-N355-N356)</f>
        <v/>
      </c>
      <c r="O361" s="392">
        <f>IF(O300="","",O300-O355-O356)</f>
        <v/>
      </c>
      <c r="P361" s="392">
        <f>IF(P300="","",P300-P355-P356)</f>
        <v/>
      </c>
      <c r="Q361" s="392">
        <f>IF(Q300="","",Q300-Q355-Q356)</f>
        <v/>
      </c>
      <c r="R361" s="392">
        <f>IF(R300="","",R300-R355-R356)</f>
        <v/>
      </c>
      <c r="S361" s="392">
        <f>IF(S300="","",S300-S355-S356)</f>
        <v/>
      </c>
      <c r="T361" s="392">
        <f>IF(T300="","",T300-T355-T356)</f>
        <v/>
      </c>
      <c r="U361" s="392">
        <f>IF(U300="","",U300-U355-U356)</f>
        <v/>
      </c>
      <c r="V361" s="392">
        <f>IF(V300="","",V300-V355-V356)</f>
        <v/>
      </c>
      <c r="W361" s="392">
        <f>IF(W300="","",W300-W355-W356)</f>
        <v/>
      </c>
      <c r="X361" s="392">
        <f>IF(X300="","",X300-X355-X356)</f>
        <v/>
      </c>
      <c r="Y361" s="392">
        <f>IF(Y300="","",Y300-Y355-Y356)</f>
        <v/>
      </c>
      <c r="Z361" s="392">
        <f>IF(Z300="","",Z300-Z355-Z356)</f>
        <v/>
      </c>
      <c r="AA361" s="392">
        <f>IF(AA300="","",AA300-AA355-AA356)</f>
        <v/>
      </c>
      <c r="AB361" s="392">
        <f>IF(AB300="","",AB300-AB355-AB356)</f>
        <v/>
      </c>
      <c r="AC361" s="392">
        <f>IF(AC300="","",AC300-AC355-AC356)</f>
        <v/>
      </c>
      <c r="AD361" s="392">
        <f>IF(AD300="","",AD300-AD355-AD356)</f>
        <v/>
      </c>
      <c r="AE361" s="392">
        <f>IF(AE300="","",AE300-AE355-AE356)</f>
        <v/>
      </c>
      <c r="AF361" s="392">
        <f>IF(AF300="","",AF300-AF355-AF356)</f>
        <v/>
      </c>
      <c r="AG361" s="392">
        <f>IF(AG300="","",AG300-AG355-AG356)</f>
        <v/>
      </c>
      <c r="AH361" s="392">
        <f>IF(AH300="","",AH300-AH355-AH356)</f>
        <v/>
      </c>
      <c r="AI361" s="392">
        <f>IF(AI300="","",AI300-AI355-AI356)</f>
        <v/>
      </c>
      <c r="AJ361" s="392">
        <f>IF(AJ300="","",AJ300-AJ355-AJ356)</f>
        <v/>
      </c>
      <c r="AK361" s="392">
        <f>IF(AK300="","",AK300-AK355-AK356)</f>
        <v/>
      </c>
      <c r="AL361" s="392">
        <f>IF(AL300="","",AL300-AL355-AL356)</f>
        <v/>
      </c>
      <c r="AM361" s="392">
        <f>IF(AM300="","",AM300-AM355-AM356)</f>
        <v/>
      </c>
      <c r="AN361" s="392">
        <f>IF(AN300="","",AN300-AN355-AN356)</f>
        <v/>
      </c>
      <c r="AO361" s="392">
        <f>IF(AO300="","",AO300-AO355-AO356)</f>
        <v/>
      </c>
      <c r="AP361" s="392">
        <f>IF(AP300="","",AP300-AP355-AP356)</f>
        <v/>
      </c>
      <c r="AQ361" s="392">
        <f>IF(AQ300="","",AQ300-AQ355-AQ356)</f>
        <v/>
      </c>
      <c r="AR361" s="392">
        <f>IF(AR300="","",AR300-AR355-AR356)</f>
        <v/>
      </c>
      <c r="AS361" s="392">
        <f>IF(AS300="","",AS300-AS355-AS356)</f>
        <v/>
      </c>
      <c r="AT361" s="392">
        <f>IF(AT300="","",AT300-AT355-AT356)</f>
        <v/>
      </c>
      <c r="AU361" s="392">
        <f>IF(AU300="","",AU300-AU355-AU356)</f>
        <v/>
      </c>
      <c r="AV361" s="392">
        <f>IF(AV300="","",AV300-AV355-AV356)</f>
        <v/>
      </c>
      <c r="AW361" s="392">
        <f>IF(AW300="","",AW300-AW355-AW356)</f>
        <v/>
      </c>
      <c r="AX361" s="392">
        <f>IF(AX300="","",AX300-AX355-AX356)</f>
        <v/>
      </c>
      <c r="AY361" s="392">
        <f>IF(AY300="","",AY300-AY355-AY356)</f>
        <v/>
      </c>
      <c r="AZ361" s="392">
        <f>IF(AZ300="","",AZ300-AZ355-AZ356)</f>
        <v/>
      </c>
      <c r="BA361" s="392">
        <f>IF(BA300="","",BA300-BA355-BA356)</f>
        <v/>
      </c>
      <c r="BB361" s="392">
        <f>IF(BB300="","",BB300-BB355-BB356)</f>
        <v/>
      </c>
      <c r="BC361" s="392">
        <f>IF(BC300="","",BC300-BC355-BC356)</f>
        <v/>
      </c>
      <c r="BD361" s="392">
        <f>IF(BD300="","",BD300-BD355-BD356)</f>
        <v/>
      </c>
      <c r="BE361" s="392">
        <f>IF(BE300="","",BE300-BE355-BE356)</f>
        <v/>
      </c>
      <c r="BF361" s="392">
        <f>IF(BF300="","",BF300-BF355-BF356)</f>
        <v/>
      </c>
      <c r="BG361" s="392">
        <f>IF(BG300="","",BG300-BG355-BG356)</f>
        <v/>
      </c>
      <c r="BH361" s="392">
        <f>IF(BH300="","",BH300-BH355-BH356)</f>
        <v/>
      </c>
      <c r="BI361" s="392">
        <f>IF(BI300="","",BI300-BI355-BI356)</f>
        <v/>
      </c>
      <c r="BJ361" s="392">
        <f>IF(BJ300="","",BJ300-BJ355-BJ356)</f>
        <v/>
      </c>
      <c r="BK361" s="392">
        <f>IF(BK300="","",BK300-BK355-BK356)</f>
        <v/>
      </c>
      <c r="BL361" s="392">
        <f>IF(BL300="","",BL300-BL355-BL356)</f>
        <v/>
      </c>
      <c r="BM361" s="392">
        <f>IF(BM300="","",BM300-BM355-BM356)</f>
        <v/>
      </c>
      <c r="BN361" s="392">
        <f>IF(BN300="","",BN300-BN355-BN356)</f>
        <v/>
      </c>
      <c r="BO361" s="392">
        <f>IF(BO300="","",BO300-BO355-BO356)</f>
        <v/>
      </c>
      <c r="BP361" s="392">
        <f>IF(BP300="","",BP300-BP355-BP356)</f>
        <v/>
      </c>
      <c r="BQ361" s="392">
        <f>IF(BQ300="","",BQ300-BQ355-BQ356)</f>
        <v/>
      </c>
      <c r="BR361" s="392">
        <f>IF(BR300="","",BR300-BR355-BR356)</f>
        <v/>
      </c>
      <c r="BS361" s="392">
        <f>IF(BS300="","",BS300-BS355-BS356)</f>
        <v/>
      </c>
      <c r="BT361" s="392">
        <f>IF(BT300="","",BT300-BT355-BT356)</f>
        <v/>
      </c>
      <c r="BU361" s="392">
        <f>IF(BU300="","",BU300-BU355-BU356)</f>
        <v/>
      </c>
      <c r="BV361" s="392">
        <f>IF(BV300="","",BV300-BV355-BV356)</f>
        <v/>
      </c>
      <c r="BW361" s="392">
        <f>IF(BW300="","",BW300-BW355-BW356)</f>
        <v/>
      </c>
      <c r="BX361" s="392">
        <f>IF(BX300="","",BX300-BX355-BX356)</f>
        <v/>
      </c>
      <c r="BY361" s="392">
        <f>IF(BY300="","",BY300-BY355-BY356)</f>
        <v/>
      </c>
      <c r="BZ361" s="392">
        <f>IF(BZ300="","",BZ300-BZ355-BZ356)</f>
        <v/>
      </c>
      <c r="CA361" s="392">
        <f>IF(CA300="","",CA300-CA355-CA356)</f>
        <v/>
      </c>
      <c r="CB361" s="392">
        <f>IF(CB300="","",CB300-CB355-CB356)</f>
        <v/>
      </c>
      <c r="CC361" s="392">
        <f>IF(CC300="","",CC300-CC355-CC356)</f>
        <v/>
      </c>
      <c r="CD361" s="392">
        <f>IF(CD300="","",CD300-CD355-CD356)</f>
        <v/>
      </c>
      <c r="CE361" s="392">
        <f>IF(CE300="","",CE300-CE355-CE356)</f>
        <v/>
      </c>
      <c r="CF361" s="392">
        <f>IF(CF300="","",CF300-CF355-CF356)</f>
        <v/>
      </c>
      <c r="CG361" s="392">
        <f>IF(CG300="","",CG300-CG355-CG356)</f>
        <v/>
      </c>
      <c r="CH361" s="392">
        <f>IF(CH300="","",CH300-CH355-CH356)</f>
        <v/>
      </c>
      <c r="CI361" s="392">
        <f>IF(CI300="","",CI300-CI355-CI356)</f>
        <v/>
      </c>
      <c r="CJ361" s="392">
        <f>IF(CJ300="","",CJ300-CJ355-CJ356)</f>
        <v/>
      </c>
      <c r="CK361" s="392">
        <f>IF(CK300="","",CK300-CK355-CK356)</f>
        <v/>
      </c>
      <c r="CL361" s="392">
        <f>IF(CL300="","",CL300-CL355-CL356)</f>
        <v/>
      </c>
      <c r="CM361" s="392">
        <f>IF(CM300="","",CM300-CM355-CM356)</f>
        <v/>
      </c>
      <c r="CN361" s="392">
        <f>IF(CN300="","",CN300-CN355-CN356)</f>
        <v/>
      </c>
      <c r="CO361" s="392">
        <f>IF(CO300="","",CO300-CO355-CO356)</f>
        <v/>
      </c>
      <c r="CP361" s="392">
        <f>IF(CP300="","",CP300-CP355-CP356)</f>
        <v/>
      </c>
      <c r="CQ361" s="392">
        <f>IF(CQ300="","",CQ300-CQ355-CQ356)</f>
        <v/>
      </c>
      <c r="CR361" s="392">
        <f>IF(CR300="","",CR300-CR355-CR356)</f>
        <v/>
      </c>
      <c r="CS361" s="392">
        <f>IF(CS300="","",CS300-CS355-CS356)</f>
        <v/>
      </c>
      <c r="CT361" s="392">
        <f>IF(CT300="","",CT300-CT355-CT356)</f>
        <v/>
      </c>
      <c r="CU361" s="392">
        <f>IF(CU300="","",CU300-CU355-CU356)</f>
        <v/>
      </c>
      <c r="CV361" s="392">
        <f>IF(CV300="","",CV300-CV355-CV356)</f>
        <v/>
      </c>
      <c r="CW361" s="392">
        <f>IF(CW300="","",CW300-CW355-CW356)</f>
        <v/>
      </c>
      <c r="CX361" s="392">
        <f>IF(CX300="","",CX300-CX355-CX356)</f>
        <v/>
      </c>
      <c r="CY361" s="392">
        <f>IF(CY300="","",CY300-CY355-CY356)</f>
        <v/>
      </c>
      <c r="CZ361" s="392">
        <f>IF(CZ300="","",CZ300-CZ355-CZ356)</f>
        <v/>
      </c>
      <c r="DA361" s="392">
        <f>IF(DA300="","",DA300-DA355-DA356)</f>
        <v/>
      </c>
      <c r="DB361" s="392">
        <f>IF(DB300="","",DB300-DB355-DB356)</f>
        <v/>
      </c>
      <c r="DC361" s="392">
        <f>IF(DC300="","",DC300-DC355-DC356)</f>
        <v/>
      </c>
      <c r="DD361" s="392">
        <f>IF(DD300="","",DD300-DD355-DD356)</f>
        <v/>
      </c>
      <c r="DE361" s="392">
        <f>IF(DE300="","",DE300-DE355-DE356)</f>
        <v/>
      </c>
    </row>
    <row r="363" ht="15" customHeight="1" s="410">
      <c r="A363" s="450" t="inlineStr">
        <is>
          <t>Six Peak balance sheet inputs (Six Peak Capital LP Consolidated)</t>
        </is>
      </c>
      <c r="B363" s="392" t="n"/>
      <c r="C363" s="392" t="n"/>
      <c r="D363" s="392" t="n"/>
      <c r="E363" s="392" t="n"/>
      <c r="F363" s="392" t="n"/>
      <c r="G363" s="392" t="n"/>
      <c r="H363" s="392" t="n"/>
      <c r="I363" s="392" t="n"/>
      <c r="J363" s="392" t="n"/>
      <c r="K363" s="392" t="n"/>
      <c r="L363" s="392" t="n"/>
      <c r="M363" s="392" t="n"/>
      <c r="N363" s="392" t="n"/>
      <c r="O363" s="392" t="n"/>
      <c r="P363" s="392" t="n"/>
      <c r="Q363" s="392" t="n"/>
      <c r="R363" s="392" t="n"/>
      <c r="S363" s="392" t="n"/>
      <c r="T363" s="392" t="n"/>
      <c r="U363" s="392" t="n"/>
      <c r="V363" s="392" t="n"/>
      <c r="W363" s="392" t="n"/>
      <c r="X363" s="392" t="n"/>
      <c r="Y363" s="392" t="n"/>
      <c r="Z363" s="392" t="n"/>
      <c r="AA363" s="392" t="n"/>
      <c r="AB363" s="392" t="n"/>
      <c r="AC363" s="392" t="n"/>
      <c r="AD363" s="392" t="n"/>
      <c r="AE363" s="392" t="n"/>
      <c r="AF363" s="392" t="n"/>
      <c r="AG363" s="392" t="n"/>
      <c r="AH363" s="392" t="n"/>
      <c r="AI363" s="392" t="n"/>
      <c r="AJ363" s="392" t="n"/>
      <c r="AK363" s="392" t="n"/>
      <c r="AL363" s="392" t="n"/>
      <c r="AM363" s="392" t="n"/>
      <c r="AN363" s="392" t="n"/>
      <c r="AO363" s="392" t="n"/>
      <c r="AP363" s="392" t="n"/>
      <c r="AQ363" s="392" t="n"/>
      <c r="AR363" s="392" t="n"/>
      <c r="AS363" s="392" t="n"/>
      <c r="AT363" s="392" t="n"/>
      <c r="AU363" s="392" t="n"/>
      <c r="AV363" s="392" t="n"/>
      <c r="AW363" s="392" t="n"/>
      <c r="AX363" s="392" t="n"/>
      <c r="AY363" s="392" t="n"/>
      <c r="AZ363" s="392" t="n"/>
      <c r="BA363" s="392" t="n"/>
      <c r="BB363" s="392" t="n"/>
      <c r="BC363" s="392" t="n"/>
      <c r="BD363" s="392" t="n"/>
      <c r="BE363" s="392" t="n"/>
      <c r="BF363" s="392" t="n"/>
      <c r="BG363" s="392" t="n"/>
      <c r="BH363" s="392" t="n"/>
      <c r="BI363" s="392" t="n"/>
      <c r="BJ363" s="392" t="n"/>
      <c r="BK363" s="392" t="n"/>
      <c r="BL363" s="392" t="n"/>
      <c r="BM363" s="392" t="n"/>
      <c r="BN363" s="392" t="n"/>
      <c r="BO363" s="392" t="n"/>
      <c r="BP363" s="392" t="n"/>
      <c r="BQ363" s="392" t="n"/>
      <c r="BR363" s="392" t="n"/>
      <c r="BS363" s="392" t="n"/>
      <c r="BT363" s="392" t="n"/>
      <c r="BU363" s="392" t="n"/>
      <c r="BV363" s="392" t="n"/>
      <c r="BW363" s="392" t="n"/>
      <c r="BX363" s="392" t="n"/>
      <c r="BY363" s="392" t="n"/>
      <c r="BZ363" s="392" t="n"/>
      <c r="CA363" s="392" t="n"/>
      <c r="CB363" s="392" t="n"/>
      <c r="CC363" s="392" t="n"/>
      <c r="CD363" s="392" t="n"/>
      <c r="CE363" s="392" t="n"/>
      <c r="CF363" s="392" t="n"/>
      <c r="CG363" s="392" t="n"/>
      <c r="CH363" s="392" t="n"/>
      <c r="CI363" s="392" t="n"/>
      <c r="CJ363" s="392" t="n"/>
      <c r="CK363" s="392" t="n"/>
      <c r="CL363" s="392" t="n"/>
      <c r="CM363" s="392" t="n"/>
      <c r="CN363" s="392" t="n"/>
      <c r="CO363" s="392" t="n"/>
      <c r="CP363" s="392" t="n"/>
      <c r="CQ363" s="392" t="n"/>
      <c r="CR363" s="392" t="n"/>
      <c r="CS363" s="392" t="n"/>
      <c r="CT363" s="392" t="n"/>
      <c r="CU363" s="392" t="n"/>
      <c r="CV363" s="392" t="n"/>
      <c r="CW363" s="392" t="n"/>
      <c r="CX363" s="392" t="n"/>
      <c r="CY363" s="392" t="n"/>
      <c r="CZ363" s="392" t="n"/>
      <c r="DA363" s="392" t="n"/>
      <c r="DB363" s="392" t="n"/>
      <c r="DC363" s="392" t="n"/>
      <c r="DD363" s="392" t="n"/>
      <c r="DE363" s="392" t="n"/>
    </row>
    <row r="364" ht="15" customHeight="1" s="410">
      <c r="A364" s="397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2" t="n"/>
      <c r="J364" s="392" t="n"/>
      <c r="K364" s="392" t="n"/>
      <c r="L364" s="392" t="n"/>
      <c r="M364" s="392" t="n"/>
      <c r="N364" s="392" t="n"/>
      <c r="O364" s="392" t="n"/>
      <c r="P364" s="392" t="n"/>
      <c r="Q364" s="392" t="n"/>
      <c r="R364" s="392" t="n"/>
      <c r="S364" s="392" t="n"/>
      <c r="T364" s="392" t="n"/>
      <c r="U364" s="392" t="n"/>
      <c r="V364" s="392" t="n"/>
      <c r="W364" s="392" t="n"/>
      <c r="X364" s="392" t="n"/>
      <c r="Y364" s="392" t="n"/>
      <c r="Z364" s="392" t="n"/>
      <c r="AA364" s="392" t="n"/>
      <c r="AB364" s="392" t="n"/>
      <c r="AC364" s="392" t="n"/>
      <c r="AD364" s="392" t="n"/>
      <c r="AE364" s="392" t="n"/>
      <c r="AF364" s="392" t="n"/>
      <c r="AG364" s="392" t="n"/>
      <c r="AH364" s="392" t="n"/>
      <c r="AI364" s="392" t="n"/>
      <c r="AJ364" s="392" t="n"/>
      <c r="AK364" s="392" t="n"/>
      <c r="AL364" s="392" t="n"/>
      <c r="AM364" s="392" t="n"/>
      <c r="AN364" s="392" t="n"/>
      <c r="AO364" s="392" t="n"/>
      <c r="AP364" s="392" t="n"/>
      <c r="AQ364" s="392" t="n"/>
      <c r="AR364" s="392" t="n"/>
      <c r="AS364" s="392" t="n"/>
      <c r="AT364" s="392" t="n"/>
      <c r="AU364" s="392" t="n"/>
      <c r="AV364" s="392" t="n"/>
      <c r="AW364" s="392" t="n"/>
      <c r="AX364" s="392" t="n"/>
      <c r="AY364" s="392" t="n"/>
      <c r="AZ364" s="392" t="n"/>
      <c r="BA364" s="392" t="n"/>
      <c r="BB364" s="392" t="n"/>
      <c r="BC364" s="392" t="n"/>
      <c r="BD364" s="392" t="n"/>
      <c r="BE364" s="392" t="n"/>
      <c r="BF364" s="392" t="n"/>
      <c r="BG364" s="392" t="n"/>
      <c r="BH364" s="392" t="n"/>
      <c r="BI364" s="392" t="n"/>
      <c r="BJ364" s="392" t="n"/>
      <c r="BK364" s="392" t="n"/>
      <c r="BL364" s="392" t="n"/>
      <c r="BM364" s="392" t="n"/>
      <c r="BN364" s="392" t="n"/>
      <c r="BO364" s="392" t="n"/>
      <c r="BP364" s="392" t="n"/>
      <c r="BQ364" s="392" t="n"/>
      <c r="BR364" s="392" t="n"/>
      <c r="BS364" s="392" t="n"/>
      <c r="BT364" s="392" t="n"/>
      <c r="BU364" s="392" t="n"/>
      <c r="BV364" s="392" t="n"/>
      <c r="BW364" s="392" t="n"/>
      <c r="BX364" s="392" t="n"/>
      <c r="BY364" s="392" t="n"/>
      <c r="BZ364" s="392" t="n"/>
      <c r="CA364" s="392" t="n"/>
      <c r="CB364" s="392" t="n"/>
      <c r="CC364" s="392" t="n"/>
      <c r="CD364" s="392" t="n"/>
      <c r="CE364" s="392" t="n"/>
      <c r="CF364" s="392" t="n"/>
      <c r="CG364" s="392" t="n"/>
      <c r="CH364" s="392" t="n"/>
      <c r="CI364" s="392" t="n"/>
      <c r="CJ364" s="392" t="n"/>
      <c r="CK364" s="392" t="n"/>
      <c r="CL364" s="392" t="n"/>
      <c r="CM364" s="392" t="n"/>
      <c r="CN364" s="392" t="n"/>
      <c r="CO364" s="392" t="n"/>
      <c r="CP364" s="392" t="n"/>
      <c r="CQ364" s="392" t="n"/>
      <c r="CR364" s="392" t="n"/>
      <c r="CS364" s="392" t="n"/>
      <c r="CT364" s="392" t="n"/>
      <c r="CU364" s="392" t="n"/>
      <c r="CV364" s="392" t="n"/>
      <c r="CW364" s="392" t="n"/>
      <c r="CX364" s="392" t="n"/>
      <c r="CY364" s="392" t="n"/>
      <c r="CZ364" s="392" t="n"/>
      <c r="DA364" s="392" t="n"/>
      <c r="DB364" s="392" t="n"/>
      <c r="DC364" s="392" t="n"/>
      <c r="DD364" s="392" t="n"/>
      <c r="DE364" s="392" t="n"/>
    </row>
    <row r="365" ht="15" customHeight="1" s="410">
      <c r="A365" s="397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2" t="n"/>
      <c r="J365" s="392" t="n"/>
      <c r="K365" s="392" t="n"/>
      <c r="L365" s="392" t="n"/>
      <c r="M365" s="392" t="n"/>
      <c r="N365" s="392" t="n"/>
      <c r="O365" s="392" t="n"/>
      <c r="P365" s="392" t="n"/>
      <c r="Q365" s="392" t="n"/>
      <c r="R365" s="392" t="n"/>
      <c r="S365" s="392" t="n"/>
      <c r="T365" s="392" t="n"/>
      <c r="U365" s="392" t="n"/>
      <c r="V365" s="392" t="n"/>
      <c r="W365" s="392" t="n"/>
      <c r="X365" s="392" t="n"/>
      <c r="Y365" s="392" t="n"/>
      <c r="Z365" s="392" t="n"/>
      <c r="AA365" s="392" t="n"/>
      <c r="AB365" s="392" t="n"/>
      <c r="AC365" s="392" t="n"/>
      <c r="AD365" s="392" t="n"/>
      <c r="AE365" s="392" t="n"/>
      <c r="AF365" s="392" t="n"/>
      <c r="AG365" s="392" t="n"/>
      <c r="AH365" s="392" t="n"/>
      <c r="AI365" s="392" t="n"/>
      <c r="AJ365" s="392" t="n"/>
      <c r="AK365" s="392" t="n"/>
      <c r="AL365" s="392" t="n"/>
      <c r="AM365" s="392" t="n"/>
      <c r="AN365" s="392" t="n"/>
      <c r="AO365" s="392" t="n"/>
      <c r="AP365" s="392" t="n"/>
      <c r="AQ365" s="392" t="n"/>
      <c r="AR365" s="392" t="n"/>
      <c r="AS365" s="392" t="n"/>
      <c r="AT365" s="392" t="n"/>
      <c r="AU365" s="392" t="n"/>
      <c r="AV365" s="392" t="n"/>
      <c r="AW365" s="392" t="n"/>
      <c r="AX365" s="392" t="n"/>
      <c r="AY365" s="392" t="n"/>
      <c r="AZ365" s="392" t="n"/>
      <c r="BA365" s="392" t="n"/>
      <c r="BB365" s="392" t="n"/>
      <c r="BC365" s="392" t="n"/>
      <c r="BD365" s="392" t="n"/>
      <c r="BE365" s="392" t="n"/>
      <c r="BF365" s="392" t="n"/>
      <c r="BG365" s="392" t="n"/>
      <c r="BH365" s="392" t="n"/>
      <c r="BI365" s="392" t="n"/>
      <c r="BJ365" s="392" t="n"/>
      <c r="BK365" s="392" t="n"/>
      <c r="BL365" s="392" t="n"/>
      <c r="BM365" s="392" t="n"/>
      <c r="BN365" s="392" t="n"/>
      <c r="BO365" s="392" t="n"/>
      <c r="BP365" s="392" t="n"/>
      <c r="BQ365" s="392" t="n"/>
      <c r="BR365" s="392" t="n"/>
      <c r="BS365" s="392" t="n"/>
      <c r="BT365" s="392" t="n"/>
      <c r="BU365" s="392" t="n"/>
      <c r="BV365" s="392" t="n"/>
      <c r="BW365" s="392" t="n"/>
      <c r="BX365" s="392" t="n"/>
      <c r="BY365" s="392" t="n"/>
      <c r="BZ365" s="392" t="n"/>
      <c r="CA365" s="392" t="n"/>
      <c r="CB365" s="392" t="n"/>
      <c r="CC365" s="392" t="n"/>
      <c r="CD365" s="392" t="n"/>
      <c r="CE365" s="392" t="n"/>
      <c r="CF365" s="392" t="n"/>
      <c r="CG365" s="392" t="n"/>
      <c r="CH365" s="392" t="n"/>
      <c r="CI365" s="392" t="n"/>
      <c r="CJ365" s="392" t="n"/>
      <c r="CK365" s="392" t="n"/>
      <c r="CL365" s="392" t="n"/>
      <c r="CM365" s="392" t="n"/>
      <c r="CN365" s="392" t="n"/>
      <c r="CO365" s="392" t="n"/>
      <c r="CP365" s="392" t="n"/>
      <c r="CQ365" s="392" t="n"/>
      <c r="CR365" s="392" t="n"/>
      <c r="CS365" s="392" t="n"/>
      <c r="CT365" s="392" t="n"/>
      <c r="CU365" s="392" t="n"/>
      <c r="CV365" s="392" t="n"/>
      <c r="CW365" s="392" t="n"/>
      <c r="CX365" s="392" t="n"/>
      <c r="CY365" s="392" t="n"/>
      <c r="CZ365" s="392" t="n"/>
      <c r="DA365" s="392" t="n"/>
      <c r="DB365" s="392" t="n"/>
      <c r="DC365" s="392" t="n"/>
      <c r="DD365" s="392" t="n"/>
      <c r="DE365" s="392" t="n"/>
    </row>
    <row r="366" ht="15" customHeight="1" s="410">
      <c r="A366" s="397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2" t="n"/>
      <c r="J366" s="392" t="n"/>
      <c r="K366" s="392" t="n"/>
      <c r="L366" s="392" t="n"/>
      <c r="M366" s="392" t="n"/>
      <c r="N366" s="392" t="n"/>
      <c r="O366" s="392" t="n"/>
      <c r="P366" s="392" t="n"/>
      <c r="Q366" s="392" t="n"/>
      <c r="R366" s="392" t="n"/>
      <c r="S366" s="392" t="n"/>
      <c r="T366" s="392" t="n"/>
      <c r="U366" s="392" t="n"/>
      <c r="V366" s="392" t="n"/>
      <c r="W366" s="392" t="n"/>
      <c r="X366" s="392" t="n"/>
      <c r="Y366" s="392" t="n"/>
      <c r="Z366" s="392" t="n"/>
      <c r="AA366" s="392" t="n"/>
      <c r="AB366" s="392" t="n"/>
      <c r="AC366" s="392" t="n"/>
      <c r="AD366" s="392" t="n"/>
      <c r="AE366" s="392" t="n"/>
      <c r="AF366" s="392" t="n"/>
      <c r="AG366" s="392" t="n"/>
      <c r="AH366" s="392" t="n"/>
      <c r="AI366" s="392" t="n"/>
      <c r="AJ366" s="392" t="n"/>
      <c r="AK366" s="392" t="n"/>
      <c r="AL366" s="392" t="n"/>
      <c r="AM366" s="392" t="n"/>
      <c r="AN366" s="392" t="n"/>
      <c r="AO366" s="392" t="n"/>
      <c r="AP366" s="392" t="n"/>
      <c r="AQ366" s="392" t="n"/>
      <c r="AR366" s="392" t="n"/>
      <c r="AS366" s="392" t="n"/>
      <c r="AT366" s="392" t="n"/>
      <c r="AU366" s="392" t="n"/>
      <c r="AV366" s="392" t="n"/>
      <c r="AW366" s="392" t="n"/>
      <c r="AX366" s="392" t="n"/>
      <c r="AY366" s="392" t="n"/>
      <c r="AZ366" s="392" t="n"/>
      <c r="BA366" s="392" t="n"/>
      <c r="BB366" s="392" t="n"/>
      <c r="BC366" s="392" t="n"/>
      <c r="BD366" s="392" t="n"/>
      <c r="BE366" s="392" t="n"/>
      <c r="BF366" s="392" t="n"/>
      <c r="BG366" s="392" t="n"/>
      <c r="BH366" s="392" t="n"/>
      <c r="BI366" s="392" t="n"/>
      <c r="BJ366" s="392" t="n"/>
      <c r="BK366" s="392" t="n"/>
      <c r="BL366" s="392" t="n"/>
      <c r="BM366" s="392" t="n"/>
      <c r="BN366" s="392" t="n"/>
      <c r="BO366" s="392" t="n"/>
      <c r="BP366" s="392" t="n"/>
      <c r="BQ366" s="392" t="n"/>
      <c r="BR366" s="392" t="n"/>
      <c r="BS366" s="392" t="n"/>
      <c r="BT366" s="392" t="n"/>
      <c r="BU366" s="392" t="n"/>
      <c r="BV366" s="392" t="n"/>
      <c r="BW366" s="392" t="n"/>
      <c r="BX366" s="392" t="n"/>
      <c r="BY366" s="392" t="n"/>
      <c r="BZ366" s="392" t="n"/>
      <c r="CA366" s="392" t="n"/>
      <c r="CB366" s="392" t="n"/>
      <c r="CC366" s="392" t="n"/>
      <c r="CD366" s="392" t="n"/>
      <c r="CE366" s="392" t="n"/>
      <c r="CF366" s="392" t="n"/>
      <c r="CG366" s="392" t="n"/>
      <c r="CH366" s="392" t="n"/>
      <c r="CI366" s="392" t="n"/>
      <c r="CJ366" s="392" t="n"/>
      <c r="CK366" s="392" t="n"/>
      <c r="CL366" s="392" t="n"/>
      <c r="CM366" s="392" t="n"/>
      <c r="CN366" s="392" t="n"/>
      <c r="CO366" s="392" t="n"/>
      <c r="CP366" s="392" t="n"/>
      <c r="CQ366" s="392" t="n"/>
      <c r="CR366" s="392" t="n"/>
      <c r="CS366" s="392" t="n"/>
      <c r="CT366" s="392" t="n"/>
      <c r="CU366" s="392" t="n"/>
      <c r="CV366" s="392" t="n"/>
      <c r="CW366" s="392" t="n"/>
      <c r="CX366" s="392" t="n"/>
      <c r="CY366" s="392" t="n"/>
      <c r="CZ366" s="392" t="n"/>
      <c r="DA366" s="392" t="n"/>
      <c r="DB366" s="392" t="n"/>
      <c r="DC366" s="392" t="n"/>
      <c r="DD366" s="392" t="n"/>
      <c r="DE366" s="392" t="n"/>
    </row>
    <row r="368" ht="15" customHeight="1" s="410">
      <c r="A368" s="450" t="inlineStr">
        <is>
          <t>Six Peak cash roll-forward</t>
        </is>
      </c>
      <c r="B368" s="392" t="n"/>
      <c r="C368" s="392" t="n"/>
      <c r="D368" s="392" t="n"/>
      <c r="E368" s="392" t="n"/>
      <c r="F368" s="392" t="n"/>
      <c r="G368" s="392" t="n"/>
      <c r="H368" s="392" t="n"/>
      <c r="I368" s="392" t="n"/>
      <c r="J368" s="392" t="n"/>
      <c r="K368" s="392" t="n"/>
      <c r="L368" s="392" t="n"/>
      <c r="M368" s="392" t="n"/>
      <c r="N368" s="392" t="n"/>
      <c r="O368" s="392" t="n"/>
      <c r="P368" s="392" t="n"/>
      <c r="Q368" s="392" t="n"/>
      <c r="R368" s="392" t="n"/>
      <c r="S368" s="392" t="n"/>
      <c r="T368" s="392" t="n"/>
      <c r="U368" s="392" t="n"/>
      <c r="V368" s="392" t="n"/>
      <c r="W368" s="392" t="n"/>
      <c r="X368" s="392" t="n"/>
      <c r="Y368" s="392" t="n"/>
      <c r="Z368" s="392" t="n"/>
      <c r="AA368" s="392" t="n"/>
      <c r="AB368" s="392" t="n"/>
      <c r="AC368" s="392" t="n"/>
      <c r="AD368" s="392" t="n"/>
      <c r="AE368" s="392" t="n"/>
      <c r="AF368" s="392" t="n"/>
      <c r="AG368" s="392" t="n"/>
      <c r="AH368" s="392" t="n"/>
      <c r="AI368" s="392" t="n"/>
      <c r="AJ368" s="392" t="n"/>
      <c r="AK368" s="392" t="n"/>
      <c r="AL368" s="392" t="n"/>
      <c r="AM368" s="392" t="n"/>
      <c r="AN368" s="392" t="n"/>
      <c r="AO368" s="392" t="n"/>
      <c r="AP368" s="392" t="n"/>
      <c r="AQ368" s="392" t="n"/>
      <c r="AR368" s="392" t="n"/>
      <c r="AS368" s="392" t="n"/>
      <c r="AT368" s="392" t="n"/>
      <c r="AU368" s="392" t="n"/>
      <c r="AV368" s="392" t="n"/>
      <c r="AW368" s="392" t="n"/>
      <c r="AX368" s="392" t="n"/>
      <c r="AY368" s="392" t="n"/>
      <c r="AZ368" s="392" t="n"/>
      <c r="BA368" s="392" t="n"/>
      <c r="BB368" s="392" t="n"/>
      <c r="BC368" s="392" t="n"/>
      <c r="BD368" s="392" t="n"/>
      <c r="BE368" s="392" t="n"/>
      <c r="BF368" s="392" t="n"/>
      <c r="BG368" s="392" t="n"/>
      <c r="BH368" s="392" t="n"/>
      <c r="BI368" s="392" t="n"/>
      <c r="BJ368" s="392" t="n"/>
      <c r="BK368" s="392" t="n"/>
      <c r="BL368" s="392" t="n"/>
      <c r="BM368" s="392" t="n"/>
      <c r="BN368" s="392" t="n"/>
      <c r="BO368" s="392" t="n"/>
      <c r="BP368" s="392" t="n"/>
      <c r="BQ368" s="392" t="n"/>
      <c r="BR368" s="392" t="n"/>
      <c r="BS368" s="392" t="n"/>
      <c r="BT368" s="392" t="n"/>
      <c r="BU368" s="392" t="n"/>
      <c r="BV368" s="392" t="n"/>
      <c r="BW368" s="392" t="n"/>
      <c r="BX368" s="392" t="n"/>
      <c r="BY368" s="392" t="n"/>
      <c r="BZ368" s="392" t="n"/>
      <c r="CA368" s="392" t="n"/>
      <c r="CB368" s="392" t="n"/>
      <c r="CC368" s="392" t="n"/>
      <c r="CD368" s="392" t="n"/>
      <c r="CE368" s="392" t="n"/>
      <c r="CF368" s="392" t="n"/>
      <c r="CG368" s="392" t="n"/>
      <c r="CH368" s="392" t="n"/>
      <c r="CI368" s="392" t="n"/>
      <c r="CJ368" s="392" t="n"/>
      <c r="CK368" s="392" t="n"/>
      <c r="CL368" s="392" t="n"/>
      <c r="CM368" s="392" t="n"/>
      <c r="CN368" s="392" t="n"/>
      <c r="CO368" s="392" t="n"/>
      <c r="CP368" s="392" t="n"/>
      <c r="CQ368" s="392" t="n"/>
      <c r="CR368" s="392" t="n"/>
      <c r="CS368" s="392" t="n"/>
      <c r="CT368" s="392" t="n"/>
      <c r="CU368" s="392" t="n"/>
      <c r="CV368" s="392" t="n"/>
      <c r="CW368" s="392" t="n"/>
      <c r="CX368" s="392" t="n"/>
      <c r="CY368" s="392" t="n"/>
      <c r="CZ368" s="392" t="n"/>
      <c r="DA368" s="392" t="n"/>
      <c r="DB368" s="392" t="n"/>
      <c r="DC368" s="392" t="n"/>
      <c r="DD368" s="392" t="n"/>
      <c r="DE368" s="392" t="n"/>
    </row>
    <row r="369" ht="15" customHeight="1" s="410">
      <c r="A369" s="397" t="inlineStr">
        <is>
          <t xml:space="preserve">     Beginning cash (prior month-end B/S)</t>
        </is>
      </c>
      <c r="B369" s="392">
        <f>IF(B306="","",$B$342)</f>
        <v/>
      </c>
      <c r="C369" s="392">
        <f>IF(C306="","",B306)</f>
        <v/>
      </c>
      <c r="D369" s="392">
        <f>IF(D306="","",C306)</f>
        <v/>
      </c>
      <c r="E369" s="392">
        <f>IF(E306="","",D306)</f>
        <v/>
      </c>
      <c r="F369" s="392">
        <f>IF(F306="","",E306)</f>
        <v/>
      </c>
      <c r="G369" s="392">
        <f>IF(G306="","",F306)</f>
        <v/>
      </c>
      <c r="H369" s="392">
        <f>IF(H306="","",G306)</f>
        <v/>
      </c>
      <c r="I369" s="392">
        <f>IF(I306="","",H306)</f>
        <v/>
      </c>
      <c r="J369" s="392">
        <f>IF(J306="","",I306)</f>
        <v/>
      </c>
      <c r="K369" s="392">
        <f>IF(K306="","",J306)</f>
        <v/>
      </c>
      <c r="L369" s="392">
        <f>IF(L306="","",K306)</f>
        <v/>
      </c>
      <c r="M369" s="392">
        <f>IF(M306="","",L306)</f>
        <v/>
      </c>
      <c r="N369" s="392">
        <f>IF(N306="","",M306)</f>
        <v/>
      </c>
      <c r="O369" s="392">
        <f>IF(O306="","",N306)</f>
        <v/>
      </c>
      <c r="P369" s="392">
        <f>IF(P306="","",O306)</f>
        <v/>
      </c>
      <c r="Q369" s="392">
        <f>IF(Q306="","",P306)</f>
        <v/>
      </c>
      <c r="R369" s="392">
        <f>IF(R306="","",Q306)</f>
        <v/>
      </c>
      <c r="S369" s="392">
        <f>IF(S306="","",R306)</f>
        <v/>
      </c>
      <c r="T369" s="392">
        <f>IF(T306="","",S306)</f>
        <v/>
      </c>
      <c r="U369" s="392">
        <f>IF(U306="","",T306)</f>
        <v/>
      </c>
      <c r="V369" s="392">
        <f>IF(V306="","",U306)</f>
        <v/>
      </c>
      <c r="W369" s="392">
        <f>IF(W306="","",V306)</f>
        <v/>
      </c>
      <c r="X369" s="392">
        <f>IF(X306="","",W306)</f>
        <v/>
      </c>
      <c r="Y369" s="392">
        <f>IF(Y306="","",X306)</f>
        <v/>
      </c>
      <c r="Z369" s="392">
        <f>IF(Z306="","",Y306)</f>
        <v/>
      </c>
      <c r="AA369" s="392">
        <f>IF(AA306="","",Z306)</f>
        <v/>
      </c>
      <c r="AB369" s="392">
        <f>IF(AB306="","",AA306)</f>
        <v/>
      </c>
      <c r="AC369" s="392">
        <f>IF(AC306="","",AB306)</f>
        <v/>
      </c>
      <c r="AD369" s="392">
        <f>IF(AD306="","",AC306)</f>
        <v/>
      </c>
      <c r="AE369" s="392">
        <f>IF(AE306="","",AD306)</f>
        <v/>
      </c>
      <c r="AF369" s="392">
        <f>IF(AF306="","",AE306)</f>
        <v/>
      </c>
      <c r="AG369" s="392">
        <f>IF(AG306="","",AF306)</f>
        <v/>
      </c>
      <c r="AH369" s="392">
        <f>IF(AH306="","",AG306)</f>
        <v/>
      </c>
      <c r="AI369" s="392">
        <f>IF(AI306="","",AH306)</f>
        <v/>
      </c>
      <c r="AJ369" s="392">
        <f>IF(AJ306="","",AI306)</f>
        <v/>
      </c>
      <c r="AK369" s="392">
        <f>IF(AK306="","",AJ306)</f>
        <v/>
      </c>
      <c r="AL369" s="392">
        <f>IF(AL306="","",AK306)</f>
        <v/>
      </c>
      <c r="AM369" s="392">
        <f>IF(AM306="","",AL306)</f>
        <v/>
      </c>
      <c r="AN369" s="392">
        <f>IF(AN306="","",AM306)</f>
        <v/>
      </c>
      <c r="AO369" s="392">
        <f>IF(AO306="","",AN306)</f>
        <v/>
      </c>
      <c r="AP369" s="392">
        <f>IF(AP306="","",AO306)</f>
        <v/>
      </c>
      <c r="AQ369" s="392">
        <f>IF(AQ306="","",AP306)</f>
        <v/>
      </c>
      <c r="AR369" s="392">
        <f>IF(AR306="","",AQ306)</f>
        <v/>
      </c>
      <c r="AS369" s="392">
        <f>IF(AS306="","",AR306)</f>
        <v/>
      </c>
      <c r="AT369" s="392">
        <f>IF(AT306="","",AS306)</f>
        <v/>
      </c>
      <c r="AU369" s="392">
        <f>IF(AU306="","",AT306)</f>
        <v/>
      </c>
      <c r="AV369" s="392">
        <f>IF(AV306="","",AU306)</f>
        <v/>
      </c>
      <c r="AW369" s="392">
        <f>IF(AW306="","",AV306)</f>
        <v/>
      </c>
      <c r="AX369" s="392">
        <f>IF(AX306="","",AW306)</f>
        <v/>
      </c>
      <c r="AY369" s="392">
        <f>IF(AY306="","",AX306)</f>
        <v/>
      </c>
      <c r="AZ369" s="392">
        <f>IF(AZ306="","",AY306)</f>
        <v/>
      </c>
      <c r="BA369" s="392">
        <f>IF(BA306="","",AZ306)</f>
        <v/>
      </c>
      <c r="BB369" s="392">
        <f>IF(BB306="","",BA306)</f>
        <v/>
      </c>
      <c r="BC369" s="392">
        <f>IF(BC306="","",BB306)</f>
        <v/>
      </c>
      <c r="BD369" s="392">
        <f>IF(BD306="","",BC306)</f>
        <v/>
      </c>
      <c r="BE369" s="392">
        <f>IF(BE306="","",BD306)</f>
        <v/>
      </c>
      <c r="BF369" s="392">
        <f>IF(BF306="","",BE306)</f>
        <v/>
      </c>
      <c r="BG369" s="392">
        <f>IF(BG306="","",BF306)</f>
        <v/>
      </c>
      <c r="BH369" s="392">
        <f>IF(BH306="","",BG306)</f>
        <v/>
      </c>
      <c r="BI369" s="392">
        <f>IF(BI306="","",BH306)</f>
        <v/>
      </c>
      <c r="BJ369" s="392">
        <f>IF(BJ306="","",BI306)</f>
        <v/>
      </c>
      <c r="BK369" s="392">
        <f>IF(BK306="","",BJ306)</f>
        <v/>
      </c>
      <c r="BL369" s="392">
        <f>IF(BL306="","",BK306)</f>
        <v/>
      </c>
      <c r="BM369" s="392">
        <f>IF(BM306="","",BL306)</f>
        <v/>
      </c>
      <c r="BN369" s="392">
        <f>IF(BN306="","",BM306)</f>
        <v/>
      </c>
      <c r="BO369" s="392">
        <f>IF(BO306="","",BN306)</f>
        <v/>
      </c>
      <c r="BP369" s="392">
        <f>IF(BP306="","",BO306)</f>
        <v/>
      </c>
      <c r="BQ369" s="392">
        <f>IF(BQ306="","",BP306)</f>
        <v/>
      </c>
      <c r="BR369" s="392">
        <f>IF(BR306="","",BQ306)</f>
        <v/>
      </c>
      <c r="BS369" s="392">
        <f>IF(BS306="","",BR306)</f>
        <v/>
      </c>
      <c r="BT369" s="392">
        <f>IF(BT306="","",BS306)</f>
        <v/>
      </c>
      <c r="BU369" s="392">
        <f>IF(BU306="","",BT306)</f>
        <v/>
      </c>
      <c r="BV369" s="392">
        <f>IF(BV306="","",BU306)</f>
        <v/>
      </c>
      <c r="BW369" s="392">
        <f>IF(BW306="","",BV306)</f>
        <v/>
      </c>
      <c r="BX369" s="392">
        <f>IF(BX306="","",BW306)</f>
        <v/>
      </c>
      <c r="BY369" s="392">
        <f>IF(BY306="","",BX306)</f>
        <v/>
      </c>
      <c r="BZ369" s="392">
        <f>IF(BZ306="","",BY306)</f>
        <v/>
      </c>
      <c r="CA369" s="392">
        <f>IF(CA306="","",BZ306)</f>
        <v/>
      </c>
      <c r="CB369" s="392">
        <f>IF(CB306="","",CA306)</f>
        <v/>
      </c>
      <c r="CC369" s="392">
        <f>IF(CC306="","",CB306)</f>
        <v/>
      </c>
      <c r="CD369" s="392">
        <f>IF(CD306="","",CC306)</f>
        <v/>
      </c>
      <c r="CE369" s="392">
        <f>IF(CE306="","",CD306)</f>
        <v/>
      </c>
      <c r="CF369" s="392">
        <f>IF(CF306="","",CE306)</f>
        <v/>
      </c>
      <c r="CG369" s="392">
        <f>IF(CG306="","",CF306)</f>
        <v/>
      </c>
      <c r="CH369" s="392">
        <f>IF(CH306="","",CG306)</f>
        <v/>
      </c>
      <c r="CI369" s="392">
        <f>IF(CI306="","",CH306)</f>
        <v/>
      </c>
      <c r="CJ369" s="392">
        <f>IF(CJ306="","",CI306)</f>
        <v/>
      </c>
      <c r="CK369" s="392">
        <f>IF(CK306="","",CJ306)</f>
        <v/>
      </c>
      <c r="CL369" s="392">
        <f>IF(CL306="","",CK306)</f>
        <v/>
      </c>
      <c r="CM369" s="392">
        <f>IF(CM306="","",CL306)</f>
        <v/>
      </c>
      <c r="CN369" s="392">
        <f>IF(CN306="","",CM306)</f>
        <v/>
      </c>
      <c r="CO369" s="392">
        <f>IF(CO306="","",CN306)</f>
        <v/>
      </c>
      <c r="CP369" s="392">
        <f>IF(CP306="","",CO306)</f>
        <v/>
      </c>
      <c r="CQ369" s="392">
        <f>IF(CQ306="","",CP306)</f>
        <v/>
      </c>
      <c r="CR369" s="392">
        <f>IF(CR306="","",CQ306)</f>
        <v/>
      </c>
      <c r="CS369" s="392">
        <f>IF(CS306="","",CR306)</f>
        <v/>
      </c>
      <c r="CT369" s="392">
        <f>IF(CT306="","",CS306)</f>
        <v/>
      </c>
      <c r="CU369" s="392">
        <f>IF(CU306="","",CT306)</f>
        <v/>
      </c>
      <c r="CV369" s="392">
        <f>IF(CV306="","",CU306)</f>
        <v/>
      </c>
      <c r="CW369" s="392">
        <f>IF(CW306="","",CV306)</f>
        <v/>
      </c>
      <c r="CX369" s="392">
        <f>IF(CX306="","",CW306)</f>
        <v/>
      </c>
      <c r="CY369" s="392">
        <f>IF(CY306="","",CX306)</f>
        <v/>
      </c>
      <c r="CZ369" s="392">
        <f>IF(CZ306="","",CY306)</f>
        <v/>
      </c>
      <c r="DA369" s="392">
        <f>IF(DA306="","",CZ306)</f>
        <v/>
      </c>
      <c r="DB369" s="392">
        <f>IF(DB306="","",DA306)</f>
        <v/>
      </c>
      <c r="DC369" s="392">
        <f>IF(DC306="","",DB306)</f>
        <v/>
      </c>
      <c r="DD369" s="392">
        <f>IF(DD306="","",DC306)</f>
        <v/>
      </c>
      <c r="DE369" s="392">
        <f>IF(DE306="","",DD306)</f>
        <v/>
      </c>
    </row>
    <row r="370" ht="15" customHeight="1" s="410">
      <c r="A370" s="397" t="inlineStr">
        <is>
          <t xml:space="preserve">     Six Peak net income (Model row 203, Actuals)</t>
        </is>
      </c>
      <c r="B370" s="392">
        <f>IF(B$4="Actuals",B203,"")</f>
        <v/>
      </c>
      <c r="C370" s="392">
        <f>IF(C$4="Actuals",C203,"")</f>
        <v/>
      </c>
      <c r="D370" s="392">
        <f>IF(D$4="Actuals",D203,"")</f>
        <v/>
      </c>
      <c r="E370" s="392">
        <f>IF(E$4="Actuals",E203,"")</f>
        <v/>
      </c>
      <c r="F370" s="392">
        <f>IF(F$4="Actuals",F203,"")</f>
        <v/>
      </c>
      <c r="G370" s="392">
        <f>IF(G$4="Actuals",G203,"")</f>
        <v/>
      </c>
      <c r="H370" s="392">
        <f>IF(H$4="Actuals",H203,"")</f>
        <v/>
      </c>
      <c r="I370" s="392">
        <f>IF(I$4="Actuals",I203,"")</f>
        <v/>
      </c>
      <c r="J370" s="392">
        <f>IF(J$4="Actuals",J203,"")</f>
        <v/>
      </c>
      <c r="K370" s="392">
        <f>IF(K$4="Actuals",K203,"")</f>
        <v/>
      </c>
      <c r="L370" s="392">
        <f>IF(L$4="Actuals",L203,"")</f>
        <v/>
      </c>
      <c r="M370" s="392">
        <f>IF(M$4="Actuals",M203,"")</f>
        <v/>
      </c>
      <c r="N370" s="392">
        <f>IF(N$4="Actuals",N203,"")</f>
        <v/>
      </c>
      <c r="O370" s="392">
        <f>IF(O$4="Actuals",O203,"")</f>
        <v/>
      </c>
      <c r="P370" s="392">
        <f>IF(P$4="Actuals",P203,"")</f>
        <v/>
      </c>
      <c r="Q370" s="392">
        <f>IF(Q$4="Actuals",Q203,"")</f>
        <v/>
      </c>
      <c r="R370" s="392">
        <f>IF(R$4="Actuals",R203,"")</f>
        <v/>
      </c>
      <c r="S370" s="392">
        <f>IF(S$4="Actuals",S203,"")</f>
        <v/>
      </c>
      <c r="T370" s="392">
        <f>IF(T$4="Actuals",T203,"")</f>
        <v/>
      </c>
      <c r="U370" s="392">
        <f>IF(U$4="Actuals",U203,"")</f>
        <v/>
      </c>
      <c r="V370" s="392">
        <f>IF(V$4="Actuals",V203,"")</f>
        <v/>
      </c>
      <c r="W370" s="392">
        <f>IF(W$4="Actuals",W203,"")</f>
        <v/>
      </c>
      <c r="X370" s="392">
        <f>IF(X$4="Actuals",X203,"")</f>
        <v/>
      </c>
      <c r="Y370" s="392">
        <f>IF(Y$4="Actuals",Y203,"")</f>
        <v/>
      </c>
      <c r="Z370" s="392">
        <f>IF(Z$4="Actuals",Z203,"")</f>
        <v/>
      </c>
      <c r="AA370" s="392">
        <f>IF(AA$4="Actuals",AA203,"")</f>
        <v/>
      </c>
      <c r="AB370" s="392">
        <f>IF(AB$4="Actuals",AB203,"")</f>
        <v/>
      </c>
      <c r="AC370" s="392">
        <f>IF(AC$4="Actuals",AC203,"")</f>
        <v/>
      </c>
      <c r="AD370" s="392">
        <f>IF(AD$4="Actuals",AD203,"")</f>
        <v/>
      </c>
      <c r="AE370" s="392">
        <f>IF(AE$4="Actuals",AE203,"")</f>
        <v/>
      </c>
      <c r="AF370" s="392">
        <f>IF(AF$4="Actuals",AF203,"")</f>
        <v/>
      </c>
      <c r="AG370" s="392">
        <f>IF(AG$4="Actuals",AG203,"")</f>
        <v/>
      </c>
      <c r="AH370" s="392">
        <f>IF(AH$4="Actuals",AH203,"")</f>
        <v/>
      </c>
      <c r="AI370" s="392">
        <f>IF(AI$4="Actuals",AI203,"")</f>
        <v/>
      </c>
      <c r="AJ370" s="392">
        <f>IF(AJ$4="Actuals",AJ203,"")</f>
        <v/>
      </c>
      <c r="AK370" s="392">
        <f>IF(AK$4="Actuals",AK203,"")</f>
        <v/>
      </c>
      <c r="AL370" s="392">
        <f>IF(AL$4="Actuals",AL203,"")</f>
        <v/>
      </c>
      <c r="AM370" s="392">
        <f>IF(AM$4="Actuals",AM203,"")</f>
        <v/>
      </c>
      <c r="AN370" s="392">
        <f>IF(AN$4="Actuals",AN203,"")</f>
        <v/>
      </c>
      <c r="AO370" s="392">
        <f>IF(AO$4="Actuals",AO203,"")</f>
        <v/>
      </c>
      <c r="AP370" s="392">
        <f>IF(AP$4="Actuals",AP203,"")</f>
        <v/>
      </c>
      <c r="AQ370" s="392">
        <f>IF(AQ$4="Actuals",AQ203,"")</f>
        <v/>
      </c>
      <c r="AR370" s="392">
        <f>IF(AR$4="Actuals",AR203,"")</f>
        <v/>
      </c>
      <c r="AS370" s="392">
        <f>IF(AS$4="Actuals",AS203,"")</f>
        <v/>
      </c>
      <c r="AT370" s="392">
        <f>IF(AT$4="Actuals",AT203,"")</f>
        <v/>
      </c>
      <c r="AU370" s="392">
        <f>IF(AU$4="Actuals",AU203,"")</f>
        <v/>
      </c>
      <c r="AV370" s="392">
        <f>IF(AV$4="Actuals",AV203,"")</f>
        <v/>
      </c>
      <c r="AW370" s="392">
        <f>IF(AW$4="Actuals",AW203,"")</f>
        <v/>
      </c>
      <c r="AX370" s="392">
        <f>IF(AX$4="Actuals",AX203,"")</f>
        <v/>
      </c>
      <c r="AY370" s="392">
        <f>IF(AY$4="Actuals",AY203,"")</f>
        <v/>
      </c>
      <c r="AZ370" s="392">
        <f>IF(AZ$4="Actuals",AZ203,"")</f>
        <v/>
      </c>
      <c r="BA370" s="392">
        <f>IF(BA$4="Actuals",BA203,"")</f>
        <v/>
      </c>
      <c r="BB370" s="392">
        <f>IF(BB$4="Actuals",BB203,"")</f>
        <v/>
      </c>
      <c r="BC370" s="392">
        <f>IF(BC$4="Actuals",BC203,"")</f>
        <v/>
      </c>
      <c r="BD370" s="392">
        <f>IF(BD$4="Actuals",BD203,"")</f>
        <v/>
      </c>
      <c r="BE370" s="392">
        <f>IF(BE$4="Actuals",BE203,"")</f>
        <v/>
      </c>
      <c r="BF370" s="392">
        <f>IF(BF$4="Actuals",BF203,"")</f>
        <v/>
      </c>
      <c r="BG370" s="392">
        <f>IF(BG$4="Actuals",BG203,"")</f>
        <v/>
      </c>
      <c r="BH370" s="392">
        <f>IF(BH$4="Actuals",BH203,"")</f>
        <v/>
      </c>
      <c r="BI370" s="392">
        <f>IF(BI$4="Actuals",BI203,"")</f>
        <v/>
      </c>
      <c r="BJ370" s="392">
        <f>IF(BJ$4="Actuals",BJ203,"")</f>
        <v/>
      </c>
      <c r="BK370" s="392">
        <f>IF(BK$4="Actuals",BK203,"")</f>
        <v/>
      </c>
      <c r="BL370" s="392">
        <f>IF(BL$4="Actuals",BL203,"")</f>
        <v/>
      </c>
      <c r="BM370" s="392">
        <f>IF(BM$4="Actuals",BM203,"")</f>
        <v/>
      </c>
      <c r="BN370" s="392">
        <f>IF(BN$4="Actuals",BN203,"")</f>
        <v/>
      </c>
      <c r="BO370" s="392">
        <f>IF(BO$4="Actuals",BO203,"")</f>
        <v/>
      </c>
      <c r="BP370" s="392">
        <f>IF(BP$4="Actuals",BP203,"")</f>
        <v/>
      </c>
      <c r="BQ370" s="392">
        <f>IF(BQ$4="Actuals",BQ203,"")</f>
        <v/>
      </c>
      <c r="BR370" s="392">
        <f>IF(BR$4="Actuals",BR203,"")</f>
        <v/>
      </c>
      <c r="BS370" s="392">
        <f>IF(BS$4="Actuals",BS203,"")</f>
        <v/>
      </c>
      <c r="BT370" s="392">
        <f>IF(BT$4="Actuals",BT203,"")</f>
        <v/>
      </c>
      <c r="BU370" s="392">
        <f>IF(BU$4="Actuals",BU203,"")</f>
        <v/>
      </c>
      <c r="BV370" s="392">
        <f>IF(BV$4="Actuals",BV203,"")</f>
        <v/>
      </c>
      <c r="BW370" s="392">
        <f>IF(BW$4="Actuals",BW203,"")</f>
        <v/>
      </c>
      <c r="BX370" s="392">
        <f>IF(BX$4="Actuals",BX203,"")</f>
        <v/>
      </c>
      <c r="BY370" s="392">
        <f>IF(BY$4="Actuals",BY203,"")</f>
        <v/>
      </c>
      <c r="BZ370" s="392">
        <f>IF(BZ$4="Actuals",BZ203,"")</f>
        <v/>
      </c>
      <c r="CA370" s="392">
        <f>IF(CA$4="Actuals",CA203,"")</f>
        <v/>
      </c>
      <c r="CB370" s="392">
        <f>IF(CB$4="Actuals",CB203,"")</f>
        <v/>
      </c>
      <c r="CC370" s="392">
        <f>IF(CC$4="Actuals",CC203,"")</f>
        <v/>
      </c>
      <c r="CD370" s="392">
        <f>IF(CD$4="Actuals",CD203,"")</f>
        <v/>
      </c>
      <c r="CE370" s="392">
        <f>IF(CE$4="Actuals",CE203,"")</f>
        <v/>
      </c>
      <c r="CF370" s="392">
        <f>IF(CF$4="Actuals",CF203,"")</f>
        <v/>
      </c>
      <c r="CG370" s="392">
        <f>IF(CG$4="Actuals",CG203,"")</f>
        <v/>
      </c>
      <c r="CH370" s="392">
        <f>IF(CH$4="Actuals",CH203,"")</f>
        <v/>
      </c>
      <c r="CI370" s="392">
        <f>IF(CI$4="Actuals",CI203,"")</f>
        <v/>
      </c>
      <c r="CJ370" s="392">
        <f>IF(CJ$4="Actuals",CJ203,"")</f>
        <v/>
      </c>
      <c r="CK370" s="392">
        <f>IF(CK$4="Actuals",CK203,"")</f>
        <v/>
      </c>
      <c r="CL370" s="392">
        <f>IF(CL$4="Actuals",CL203,"")</f>
        <v/>
      </c>
      <c r="CM370" s="392">
        <f>IF(CM$4="Actuals",CM203,"")</f>
        <v/>
      </c>
      <c r="CN370" s="392">
        <f>IF(CN$4="Actuals",CN203,"")</f>
        <v/>
      </c>
      <c r="CO370" s="392">
        <f>IF(CO$4="Actuals",CO203,"")</f>
        <v/>
      </c>
      <c r="CP370" s="392">
        <f>IF(CP$4="Actuals",CP203,"")</f>
        <v/>
      </c>
      <c r="CQ370" s="392">
        <f>IF(CQ$4="Actuals",CQ203,"")</f>
        <v/>
      </c>
      <c r="CR370" s="392">
        <f>IF(CR$4="Actuals",CR203,"")</f>
        <v/>
      </c>
      <c r="CS370" s="392">
        <f>IF(CS$4="Actuals",CS203,"")</f>
        <v/>
      </c>
      <c r="CT370" s="392">
        <f>IF(CT$4="Actuals",CT203,"")</f>
        <v/>
      </c>
      <c r="CU370" s="392">
        <f>IF(CU$4="Actuals",CU203,"")</f>
        <v/>
      </c>
      <c r="CV370" s="392">
        <f>IF(CV$4="Actuals",CV203,"")</f>
        <v/>
      </c>
      <c r="CW370" s="392">
        <f>IF(CW$4="Actuals",CW203,"")</f>
        <v/>
      </c>
      <c r="CX370" s="392">
        <f>IF(CX$4="Actuals",CX203,"")</f>
        <v/>
      </c>
      <c r="CY370" s="392">
        <f>IF(CY$4="Actuals",CY203,"")</f>
        <v/>
      </c>
      <c r="CZ370" s="392">
        <f>IF(CZ$4="Actuals",CZ203,"")</f>
        <v/>
      </c>
      <c r="DA370" s="392">
        <f>IF(DA$4="Actuals",DA203,"")</f>
        <v/>
      </c>
      <c r="DB370" s="392">
        <f>IF(DB$4="Actuals",DB203,"")</f>
        <v/>
      </c>
      <c r="DC370" s="392">
        <f>IF(DC$4="Actuals",DC203,"")</f>
        <v/>
      </c>
      <c r="DD370" s="392">
        <f>IF(DD$4="Actuals",DD203,"")</f>
        <v/>
      </c>
      <c r="DE370" s="392">
        <f>IF(DE$4="Actuals",DE203,"")</f>
        <v/>
      </c>
    </row>
    <row r="371" ht="15" customHeight="1" s="410">
      <c r="A371" s="397" t="inlineStr">
        <is>
          <t xml:space="preserve">     Increase/(decrease) in due to affiliates</t>
        </is>
      </c>
      <c r="B371" s="392">
        <f>IF(B306="","",B365-$B$344)</f>
        <v/>
      </c>
      <c r="C371" s="392">
        <f>IF(C306="","",C365-B365)</f>
        <v/>
      </c>
      <c r="D371" s="392">
        <f>IF(D306="","",D365-C365)</f>
        <v/>
      </c>
      <c r="E371" s="392">
        <f>IF(E306="","",E365-D365)</f>
        <v/>
      </c>
      <c r="F371" s="392">
        <f>IF(F306="","",F365-E365)</f>
        <v/>
      </c>
      <c r="G371" s="392">
        <f>IF(G306="","",G365-F365)</f>
        <v/>
      </c>
      <c r="H371" s="392">
        <f>IF(H306="","",H365-G365)</f>
        <v/>
      </c>
      <c r="I371" s="392">
        <f>IF(I306="","",I365-H365)</f>
        <v/>
      </c>
      <c r="J371" s="392">
        <f>IF(J306="","",J365-I365)</f>
        <v/>
      </c>
      <c r="K371" s="392">
        <f>IF(K306="","",K365-J365)</f>
        <v/>
      </c>
      <c r="L371" s="392">
        <f>IF(L306="","",L365-K365)</f>
        <v/>
      </c>
      <c r="M371" s="392">
        <f>IF(M306="","",M365-L365)</f>
        <v/>
      </c>
      <c r="N371" s="392">
        <f>IF(N306="","",N365-M365)</f>
        <v/>
      </c>
      <c r="O371" s="392">
        <f>IF(O306="","",O365-N365)</f>
        <v/>
      </c>
      <c r="P371" s="392">
        <f>IF(P306="","",P365-O365)</f>
        <v/>
      </c>
      <c r="Q371" s="392">
        <f>IF(Q306="","",Q365-P365)</f>
        <v/>
      </c>
      <c r="R371" s="392">
        <f>IF(R306="","",R365-Q365)</f>
        <v/>
      </c>
      <c r="S371" s="392">
        <f>IF(S306="","",S365-R365)</f>
        <v/>
      </c>
      <c r="T371" s="392">
        <f>IF(T306="","",T365-S365)</f>
        <v/>
      </c>
      <c r="U371" s="392">
        <f>IF(U306="","",U365-T365)</f>
        <v/>
      </c>
      <c r="V371" s="392">
        <f>IF(V306="","",V365-U365)</f>
        <v/>
      </c>
      <c r="W371" s="392">
        <f>IF(W306="","",W365-V365)</f>
        <v/>
      </c>
      <c r="X371" s="392">
        <f>IF(X306="","",X365-W365)</f>
        <v/>
      </c>
      <c r="Y371" s="392">
        <f>IF(Y306="","",Y365-X365)</f>
        <v/>
      </c>
      <c r="Z371" s="392">
        <f>IF(Z306="","",Z365-Y365)</f>
        <v/>
      </c>
      <c r="AA371" s="392">
        <f>IF(AA306="","",AA365-Z365)</f>
        <v/>
      </c>
      <c r="AB371" s="392">
        <f>IF(AB306="","",AB365-AA365)</f>
        <v/>
      </c>
      <c r="AC371" s="392">
        <f>IF(AC306="","",AC365-AB365)</f>
        <v/>
      </c>
      <c r="AD371" s="392">
        <f>IF(AD306="","",AD365-AC365)</f>
        <v/>
      </c>
      <c r="AE371" s="392">
        <f>IF(AE306="","",AE365-AD365)</f>
        <v/>
      </c>
      <c r="AF371" s="392">
        <f>IF(AF306="","",AF365-AE365)</f>
        <v/>
      </c>
      <c r="AG371" s="392">
        <f>IF(AG306="","",AG365-AF365)</f>
        <v/>
      </c>
      <c r="AH371" s="392">
        <f>IF(AH306="","",AH365-AG365)</f>
        <v/>
      </c>
      <c r="AI371" s="392">
        <f>IF(AI306="","",AI365-AH365)</f>
        <v/>
      </c>
      <c r="AJ371" s="392">
        <f>IF(AJ306="","",AJ365-AI365)</f>
        <v/>
      </c>
      <c r="AK371" s="392">
        <f>IF(AK306="","",AK365-AJ365)</f>
        <v/>
      </c>
      <c r="AL371" s="392">
        <f>IF(AL306="","",AL365-AK365)</f>
        <v/>
      </c>
      <c r="AM371" s="392">
        <f>IF(AM306="","",AM365-AL365)</f>
        <v/>
      </c>
      <c r="AN371" s="392">
        <f>IF(AN306="","",AN365-AM365)</f>
        <v/>
      </c>
      <c r="AO371" s="392">
        <f>IF(AO306="","",AO365-AN365)</f>
        <v/>
      </c>
      <c r="AP371" s="392">
        <f>IF(AP306="","",AP365-AO365)</f>
        <v/>
      </c>
      <c r="AQ371" s="392">
        <f>IF(AQ306="","",AQ365-AP365)</f>
        <v/>
      </c>
      <c r="AR371" s="392">
        <f>IF(AR306="","",AR365-AQ365)</f>
        <v/>
      </c>
      <c r="AS371" s="392">
        <f>IF(AS306="","",AS365-AR365)</f>
        <v/>
      </c>
      <c r="AT371" s="392">
        <f>IF(AT306="","",AT365-AS365)</f>
        <v/>
      </c>
      <c r="AU371" s="392">
        <f>IF(AU306="","",AU365-AT365)</f>
        <v/>
      </c>
      <c r="AV371" s="392">
        <f>IF(AV306="","",AV365-AU365)</f>
        <v/>
      </c>
      <c r="AW371" s="392">
        <f>IF(AW306="","",AW365-AV365)</f>
        <v/>
      </c>
      <c r="AX371" s="392">
        <f>IF(AX306="","",AX365-AW365)</f>
        <v/>
      </c>
      <c r="AY371" s="392">
        <f>IF(AY306="","",AY365-AX365)</f>
        <v/>
      </c>
      <c r="AZ371" s="392">
        <f>IF(AZ306="","",AZ365-AY365)</f>
        <v/>
      </c>
      <c r="BA371" s="392">
        <f>IF(BA306="","",BA365-AZ365)</f>
        <v/>
      </c>
      <c r="BB371" s="392">
        <f>IF(BB306="","",BB365-BA365)</f>
        <v/>
      </c>
      <c r="BC371" s="392">
        <f>IF(BC306="","",BC365-BB365)</f>
        <v/>
      </c>
      <c r="BD371" s="392">
        <f>IF(BD306="","",BD365-BC365)</f>
        <v/>
      </c>
      <c r="BE371" s="392">
        <f>IF(BE306="","",BE365-BD365)</f>
        <v/>
      </c>
      <c r="BF371" s="392">
        <f>IF(BF306="","",BF365-BE365)</f>
        <v/>
      </c>
      <c r="BG371" s="392">
        <f>IF(BG306="","",BG365-BF365)</f>
        <v/>
      </c>
      <c r="BH371" s="392">
        <f>IF(BH306="","",BH365-BG365)</f>
        <v/>
      </c>
      <c r="BI371" s="392">
        <f>IF(BI306="","",BI365-BH365)</f>
        <v/>
      </c>
      <c r="BJ371" s="392">
        <f>IF(BJ306="","",BJ365-BI365)</f>
        <v/>
      </c>
      <c r="BK371" s="392">
        <f>IF(BK306="","",BK365-BJ365)</f>
        <v/>
      </c>
      <c r="BL371" s="392">
        <f>IF(BL306="","",BL365-BK365)</f>
        <v/>
      </c>
      <c r="BM371" s="392">
        <f>IF(BM306="","",BM365-BL365)</f>
        <v/>
      </c>
      <c r="BN371" s="392">
        <f>IF(BN306="","",BN365-BM365)</f>
        <v/>
      </c>
      <c r="BO371" s="392">
        <f>IF(BO306="","",BO365-BN365)</f>
        <v/>
      </c>
      <c r="BP371" s="392">
        <f>IF(BP306="","",BP365-BO365)</f>
        <v/>
      </c>
      <c r="BQ371" s="392">
        <f>IF(BQ306="","",BQ365-BP365)</f>
        <v/>
      </c>
      <c r="BR371" s="392">
        <f>IF(BR306="","",BR365-BQ365)</f>
        <v/>
      </c>
      <c r="BS371" s="392">
        <f>IF(BS306="","",BS365-BR365)</f>
        <v/>
      </c>
      <c r="BT371" s="392">
        <f>IF(BT306="","",BT365-BS365)</f>
        <v/>
      </c>
      <c r="BU371" s="392">
        <f>IF(BU306="","",BU365-BT365)</f>
        <v/>
      </c>
      <c r="BV371" s="392">
        <f>IF(BV306="","",BV365-BU365)</f>
        <v/>
      </c>
      <c r="BW371" s="392">
        <f>IF(BW306="","",BW365-BV365)</f>
        <v/>
      </c>
      <c r="BX371" s="392">
        <f>IF(BX306="","",BX365-BW365)</f>
        <v/>
      </c>
      <c r="BY371" s="392">
        <f>IF(BY306="","",BY365-BX365)</f>
        <v/>
      </c>
      <c r="BZ371" s="392">
        <f>IF(BZ306="","",BZ365-BY365)</f>
        <v/>
      </c>
      <c r="CA371" s="392">
        <f>IF(CA306="","",CA365-BZ365)</f>
        <v/>
      </c>
      <c r="CB371" s="392">
        <f>IF(CB306="","",CB365-CA365)</f>
        <v/>
      </c>
      <c r="CC371" s="392">
        <f>IF(CC306="","",CC365-CB365)</f>
        <v/>
      </c>
      <c r="CD371" s="392">
        <f>IF(CD306="","",CD365-CC365)</f>
        <v/>
      </c>
      <c r="CE371" s="392">
        <f>IF(CE306="","",CE365-CD365)</f>
        <v/>
      </c>
      <c r="CF371" s="392">
        <f>IF(CF306="","",CF365-CE365)</f>
        <v/>
      </c>
      <c r="CG371" s="392">
        <f>IF(CG306="","",CG365-CF365)</f>
        <v/>
      </c>
      <c r="CH371" s="392">
        <f>IF(CH306="","",CH365-CG365)</f>
        <v/>
      </c>
      <c r="CI371" s="392">
        <f>IF(CI306="","",CI365-CH365)</f>
        <v/>
      </c>
      <c r="CJ371" s="392">
        <f>IF(CJ306="","",CJ365-CI365)</f>
        <v/>
      </c>
      <c r="CK371" s="392">
        <f>IF(CK306="","",CK365-CJ365)</f>
        <v/>
      </c>
      <c r="CL371" s="392">
        <f>IF(CL306="","",CL365-CK365)</f>
        <v/>
      </c>
      <c r="CM371" s="392">
        <f>IF(CM306="","",CM365-CL365)</f>
        <v/>
      </c>
      <c r="CN371" s="392">
        <f>IF(CN306="","",CN365-CM365)</f>
        <v/>
      </c>
      <c r="CO371" s="392">
        <f>IF(CO306="","",CO365-CN365)</f>
        <v/>
      </c>
      <c r="CP371" s="392">
        <f>IF(CP306="","",CP365-CO365)</f>
        <v/>
      </c>
      <c r="CQ371" s="392">
        <f>IF(CQ306="","",CQ365-CP365)</f>
        <v/>
      </c>
      <c r="CR371" s="392">
        <f>IF(CR306="","",CR365-CQ365)</f>
        <v/>
      </c>
      <c r="CS371" s="392">
        <f>IF(CS306="","",CS365-CR365)</f>
        <v/>
      </c>
      <c r="CT371" s="392">
        <f>IF(CT306="","",CT365-CS365)</f>
        <v/>
      </c>
      <c r="CU371" s="392">
        <f>IF(CU306="","",CU365-CT365)</f>
        <v/>
      </c>
      <c r="CV371" s="392">
        <f>IF(CV306="","",CV365-CU365)</f>
        <v/>
      </c>
      <c r="CW371" s="392">
        <f>IF(CW306="","",CW365-CV365)</f>
        <v/>
      </c>
      <c r="CX371" s="392">
        <f>IF(CX306="","",CX365-CW365)</f>
        <v/>
      </c>
      <c r="CY371" s="392">
        <f>IF(CY306="","",CY365-CX365)</f>
        <v/>
      </c>
      <c r="CZ371" s="392">
        <f>IF(CZ306="","",CZ365-CY365)</f>
        <v/>
      </c>
      <c r="DA371" s="392">
        <f>IF(DA306="","",DA365-CZ365)</f>
        <v/>
      </c>
      <c r="DB371" s="392">
        <f>IF(DB306="","",DB365-DA365)</f>
        <v/>
      </c>
      <c r="DC371" s="392">
        <f>IF(DC306="","",DC365-DB365)</f>
        <v/>
      </c>
      <c r="DD371" s="392">
        <f>IF(DD306="","",DD365-DC365)</f>
        <v/>
      </c>
      <c r="DE371" s="392">
        <f>IF(DE306="","",DE365-DD365)</f>
        <v/>
      </c>
    </row>
    <row r="372" ht="15" customHeight="1" s="410">
      <c r="A372" s="397" t="inlineStr">
        <is>
          <t xml:space="preserve">     (Increase)/decrease in due from affiliates</t>
        </is>
      </c>
      <c r="B372" s="392">
        <f>IF(B306="","",-(B364-$B$343))</f>
        <v/>
      </c>
      <c r="C372" s="392">
        <f>IF(C306="","",-(C364-B364))</f>
        <v/>
      </c>
      <c r="D372" s="392">
        <f>IF(D306="","",-(D364-C364))</f>
        <v/>
      </c>
      <c r="E372" s="392">
        <f>IF(E306="","",-(E364-D364))</f>
        <v/>
      </c>
      <c r="F372" s="392">
        <f>IF(F306="","",-(F364-E364))</f>
        <v/>
      </c>
      <c r="G372" s="392">
        <f>IF(G306="","",-(G364-F364))</f>
        <v/>
      </c>
      <c r="H372" s="392">
        <f>IF(H306="","",-(H364-G364))</f>
        <v/>
      </c>
      <c r="I372" s="392">
        <f>IF(I306="","",-(I364-H364))</f>
        <v/>
      </c>
      <c r="J372" s="392">
        <f>IF(J306="","",-(J364-I364))</f>
        <v/>
      </c>
      <c r="K372" s="392">
        <f>IF(K306="","",-(K364-J364))</f>
        <v/>
      </c>
      <c r="L372" s="392">
        <f>IF(L306="","",-(L364-K364))</f>
        <v/>
      </c>
      <c r="M372" s="392">
        <f>IF(M306="","",-(M364-L364))</f>
        <v/>
      </c>
      <c r="N372" s="392">
        <f>IF(N306="","",-(N364-M364))</f>
        <v/>
      </c>
      <c r="O372" s="392">
        <f>IF(O306="","",-(O364-N364))</f>
        <v/>
      </c>
      <c r="P372" s="392">
        <f>IF(P306="","",-(P364-O364))</f>
        <v/>
      </c>
      <c r="Q372" s="392">
        <f>IF(Q306="","",-(Q364-P364))</f>
        <v/>
      </c>
      <c r="R372" s="392">
        <f>IF(R306="","",-(R364-Q364))</f>
        <v/>
      </c>
      <c r="S372" s="392">
        <f>IF(S306="","",-(S364-R364))</f>
        <v/>
      </c>
      <c r="T372" s="392">
        <f>IF(T306="","",-(T364-S364))</f>
        <v/>
      </c>
      <c r="U372" s="392">
        <f>IF(U306="","",-(U364-T364))</f>
        <v/>
      </c>
      <c r="V372" s="392">
        <f>IF(V306="","",-(V364-U364))</f>
        <v/>
      </c>
      <c r="W372" s="392">
        <f>IF(W306="","",-(W364-V364))</f>
        <v/>
      </c>
      <c r="X372" s="392">
        <f>IF(X306="","",-(X364-W364))</f>
        <v/>
      </c>
      <c r="Y372" s="392">
        <f>IF(Y306="","",-(Y364-X364))</f>
        <v/>
      </c>
      <c r="Z372" s="392">
        <f>IF(Z306="","",-(Z364-Y364))</f>
        <v/>
      </c>
      <c r="AA372" s="392">
        <f>IF(AA306="","",-(AA364-Z364))</f>
        <v/>
      </c>
      <c r="AB372" s="392">
        <f>IF(AB306="","",-(AB364-AA364))</f>
        <v/>
      </c>
      <c r="AC372" s="392">
        <f>IF(AC306="","",-(AC364-AB364))</f>
        <v/>
      </c>
      <c r="AD372" s="392">
        <f>IF(AD306="","",-(AD364-AC364))</f>
        <v/>
      </c>
      <c r="AE372" s="392">
        <f>IF(AE306="","",-(AE364-AD364))</f>
        <v/>
      </c>
      <c r="AF372" s="392">
        <f>IF(AF306="","",-(AF364-AE364))</f>
        <v/>
      </c>
      <c r="AG372" s="392">
        <f>IF(AG306="","",-(AG364-AF364))</f>
        <v/>
      </c>
      <c r="AH372" s="392">
        <f>IF(AH306="","",-(AH364-AG364))</f>
        <v/>
      </c>
      <c r="AI372" s="392">
        <f>IF(AI306="","",-(AI364-AH364))</f>
        <v/>
      </c>
      <c r="AJ372" s="392">
        <f>IF(AJ306="","",-(AJ364-AI364))</f>
        <v/>
      </c>
      <c r="AK372" s="392">
        <f>IF(AK306="","",-(AK364-AJ364))</f>
        <v/>
      </c>
      <c r="AL372" s="392">
        <f>IF(AL306="","",-(AL364-AK364))</f>
        <v/>
      </c>
      <c r="AM372" s="392">
        <f>IF(AM306="","",-(AM364-AL364))</f>
        <v/>
      </c>
      <c r="AN372" s="392">
        <f>IF(AN306="","",-(AN364-AM364))</f>
        <v/>
      </c>
      <c r="AO372" s="392">
        <f>IF(AO306="","",-(AO364-AN364))</f>
        <v/>
      </c>
      <c r="AP372" s="392">
        <f>IF(AP306="","",-(AP364-AO364))</f>
        <v/>
      </c>
      <c r="AQ372" s="392">
        <f>IF(AQ306="","",-(AQ364-AP364))</f>
        <v/>
      </c>
      <c r="AR372" s="392">
        <f>IF(AR306="","",-(AR364-AQ364))</f>
        <v/>
      </c>
      <c r="AS372" s="392">
        <f>IF(AS306="","",-(AS364-AR364))</f>
        <v/>
      </c>
      <c r="AT372" s="392">
        <f>IF(AT306="","",-(AT364-AS364))</f>
        <v/>
      </c>
      <c r="AU372" s="392">
        <f>IF(AU306="","",-(AU364-AT364))</f>
        <v/>
      </c>
      <c r="AV372" s="392">
        <f>IF(AV306="","",-(AV364-AU364))</f>
        <v/>
      </c>
      <c r="AW372" s="392">
        <f>IF(AW306="","",-(AW364-AV364))</f>
        <v/>
      </c>
      <c r="AX372" s="392">
        <f>IF(AX306="","",-(AX364-AW364))</f>
        <v/>
      </c>
      <c r="AY372" s="392">
        <f>IF(AY306="","",-(AY364-AX364))</f>
        <v/>
      </c>
      <c r="AZ372" s="392">
        <f>IF(AZ306="","",-(AZ364-AY364))</f>
        <v/>
      </c>
      <c r="BA372" s="392">
        <f>IF(BA306="","",-(BA364-AZ364))</f>
        <v/>
      </c>
      <c r="BB372" s="392">
        <f>IF(BB306="","",-(BB364-BA364))</f>
        <v/>
      </c>
      <c r="BC372" s="392">
        <f>IF(BC306="","",-(BC364-BB364))</f>
        <v/>
      </c>
      <c r="BD372" s="392">
        <f>IF(BD306="","",-(BD364-BC364))</f>
        <v/>
      </c>
      <c r="BE372" s="392">
        <f>IF(BE306="","",-(BE364-BD364))</f>
        <v/>
      </c>
      <c r="BF372" s="392">
        <f>IF(BF306="","",-(BF364-BE364))</f>
        <v/>
      </c>
      <c r="BG372" s="392">
        <f>IF(BG306="","",-(BG364-BF364))</f>
        <v/>
      </c>
      <c r="BH372" s="392">
        <f>IF(BH306="","",-(BH364-BG364))</f>
        <v/>
      </c>
      <c r="BI372" s="392">
        <f>IF(BI306="","",-(BI364-BH364))</f>
        <v/>
      </c>
      <c r="BJ372" s="392">
        <f>IF(BJ306="","",-(BJ364-BI364))</f>
        <v/>
      </c>
      <c r="BK372" s="392">
        <f>IF(BK306="","",-(BK364-BJ364))</f>
        <v/>
      </c>
      <c r="BL372" s="392">
        <f>IF(BL306="","",-(BL364-BK364))</f>
        <v/>
      </c>
      <c r="BM372" s="392">
        <f>IF(BM306="","",-(BM364-BL364))</f>
        <v/>
      </c>
      <c r="BN372" s="392">
        <f>IF(BN306="","",-(BN364-BM364))</f>
        <v/>
      </c>
      <c r="BO372" s="392">
        <f>IF(BO306="","",-(BO364-BN364))</f>
        <v/>
      </c>
      <c r="BP372" s="392">
        <f>IF(BP306="","",-(BP364-BO364))</f>
        <v/>
      </c>
      <c r="BQ372" s="392">
        <f>IF(BQ306="","",-(BQ364-BP364))</f>
        <v/>
      </c>
      <c r="BR372" s="392">
        <f>IF(BR306="","",-(BR364-BQ364))</f>
        <v/>
      </c>
      <c r="BS372" s="392">
        <f>IF(BS306="","",-(BS364-BR364))</f>
        <v/>
      </c>
      <c r="BT372" s="392">
        <f>IF(BT306="","",-(BT364-BS364))</f>
        <v/>
      </c>
      <c r="BU372" s="392">
        <f>IF(BU306="","",-(BU364-BT364))</f>
        <v/>
      </c>
      <c r="BV372" s="392">
        <f>IF(BV306="","",-(BV364-BU364))</f>
        <v/>
      </c>
      <c r="BW372" s="392">
        <f>IF(BW306="","",-(BW364-BV364))</f>
        <v/>
      </c>
      <c r="BX372" s="392">
        <f>IF(BX306="","",-(BX364-BW364))</f>
        <v/>
      </c>
      <c r="BY372" s="392">
        <f>IF(BY306="","",-(BY364-BX364))</f>
        <v/>
      </c>
      <c r="BZ372" s="392">
        <f>IF(BZ306="","",-(BZ364-BY364))</f>
        <v/>
      </c>
      <c r="CA372" s="392">
        <f>IF(CA306="","",-(CA364-BZ364))</f>
        <v/>
      </c>
      <c r="CB372" s="392">
        <f>IF(CB306="","",-(CB364-CA364))</f>
        <v/>
      </c>
      <c r="CC372" s="392">
        <f>IF(CC306="","",-(CC364-CB364))</f>
        <v/>
      </c>
      <c r="CD372" s="392">
        <f>IF(CD306="","",-(CD364-CC364))</f>
        <v/>
      </c>
      <c r="CE372" s="392">
        <f>IF(CE306="","",-(CE364-CD364))</f>
        <v/>
      </c>
      <c r="CF372" s="392">
        <f>IF(CF306="","",-(CF364-CE364))</f>
        <v/>
      </c>
      <c r="CG372" s="392">
        <f>IF(CG306="","",-(CG364-CF364))</f>
        <v/>
      </c>
      <c r="CH372" s="392">
        <f>IF(CH306="","",-(CH364-CG364))</f>
        <v/>
      </c>
      <c r="CI372" s="392">
        <f>IF(CI306="","",-(CI364-CH364))</f>
        <v/>
      </c>
      <c r="CJ372" s="392">
        <f>IF(CJ306="","",-(CJ364-CI364))</f>
        <v/>
      </c>
      <c r="CK372" s="392">
        <f>IF(CK306="","",-(CK364-CJ364))</f>
        <v/>
      </c>
      <c r="CL372" s="392">
        <f>IF(CL306="","",-(CL364-CK364))</f>
        <v/>
      </c>
      <c r="CM372" s="392">
        <f>IF(CM306="","",-(CM364-CL364))</f>
        <v/>
      </c>
      <c r="CN372" s="392">
        <f>IF(CN306="","",-(CN364-CM364))</f>
        <v/>
      </c>
      <c r="CO372" s="392">
        <f>IF(CO306="","",-(CO364-CN364))</f>
        <v/>
      </c>
      <c r="CP372" s="392">
        <f>IF(CP306="","",-(CP364-CO364))</f>
        <v/>
      </c>
      <c r="CQ372" s="392">
        <f>IF(CQ306="","",-(CQ364-CP364))</f>
        <v/>
      </c>
      <c r="CR372" s="392">
        <f>IF(CR306="","",-(CR364-CQ364))</f>
        <v/>
      </c>
      <c r="CS372" s="392">
        <f>IF(CS306="","",-(CS364-CR364))</f>
        <v/>
      </c>
      <c r="CT372" s="392">
        <f>IF(CT306="","",-(CT364-CS364))</f>
        <v/>
      </c>
      <c r="CU372" s="392">
        <f>IF(CU306="","",-(CU364-CT364))</f>
        <v/>
      </c>
      <c r="CV372" s="392">
        <f>IF(CV306="","",-(CV364-CU364))</f>
        <v/>
      </c>
      <c r="CW372" s="392">
        <f>IF(CW306="","",-(CW364-CV364))</f>
        <v/>
      </c>
      <c r="CX372" s="392">
        <f>IF(CX306="","",-(CX364-CW364))</f>
        <v/>
      </c>
      <c r="CY372" s="392">
        <f>IF(CY306="","",-(CY364-CX364))</f>
        <v/>
      </c>
      <c r="CZ372" s="392">
        <f>IF(CZ306="","",-(CZ364-CY364))</f>
        <v/>
      </c>
      <c r="DA372" s="392">
        <f>IF(DA306="","",-(DA364-CZ364))</f>
        <v/>
      </c>
      <c r="DB372" s="392">
        <f>IF(DB306="","",-(DB364-DA364))</f>
        <v/>
      </c>
      <c r="DC372" s="392">
        <f>IF(DC306="","",-(DC364-DB364))</f>
        <v/>
      </c>
      <c r="DD372" s="392">
        <f>IF(DD306="","",-(DD364-DC364))</f>
        <v/>
      </c>
      <c r="DE372" s="392">
        <f>IF(DE306="","",-(DE364-DD364))</f>
        <v/>
      </c>
    </row>
    <row r="373" ht="15" customHeight="1" s="410">
      <c r="A373" s="397" t="inlineStr">
        <is>
          <t xml:space="preserve">     Increase/(decrease) in line of credit</t>
        </is>
      </c>
      <c r="B373" s="392">
        <f>IF(B306="","",B366-$B$345)</f>
        <v/>
      </c>
      <c r="C373" s="392">
        <f>IF(C306="","",C366-B366)</f>
        <v/>
      </c>
      <c r="D373" s="392">
        <f>IF(D306="","",D366-C366)</f>
        <v/>
      </c>
      <c r="E373" s="392">
        <f>IF(E306="","",E366-D366)</f>
        <v/>
      </c>
      <c r="F373" s="392">
        <f>IF(F306="","",F366-E366)</f>
        <v/>
      </c>
      <c r="G373" s="392">
        <f>IF(G306="","",G366-F366)</f>
        <v/>
      </c>
      <c r="H373" s="392">
        <f>IF(H306="","",H366-G366)</f>
        <v/>
      </c>
      <c r="I373" s="392">
        <f>IF(I306="","",I366-H366)</f>
        <v/>
      </c>
      <c r="J373" s="392">
        <f>IF(J306="","",J366-I366)</f>
        <v/>
      </c>
      <c r="K373" s="392">
        <f>IF(K306="","",K366-J366)</f>
        <v/>
      </c>
      <c r="L373" s="392">
        <f>IF(L306="","",L366-K366)</f>
        <v/>
      </c>
      <c r="M373" s="392">
        <f>IF(M306="","",M366-L366)</f>
        <v/>
      </c>
      <c r="N373" s="392">
        <f>IF(N306="","",N366-M366)</f>
        <v/>
      </c>
      <c r="O373" s="392">
        <f>IF(O306="","",O366-N366)</f>
        <v/>
      </c>
      <c r="P373" s="392">
        <f>IF(P306="","",P366-O366)</f>
        <v/>
      </c>
      <c r="Q373" s="392">
        <f>IF(Q306="","",Q366-P366)</f>
        <v/>
      </c>
      <c r="R373" s="392">
        <f>IF(R306="","",R366-Q366)</f>
        <v/>
      </c>
      <c r="S373" s="392">
        <f>IF(S306="","",S366-R366)</f>
        <v/>
      </c>
      <c r="T373" s="392">
        <f>IF(T306="","",T366-S366)</f>
        <v/>
      </c>
      <c r="U373" s="392">
        <f>IF(U306="","",U366-T366)</f>
        <v/>
      </c>
      <c r="V373" s="392">
        <f>IF(V306="","",V366-U366)</f>
        <v/>
      </c>
      <c r="W373" s="392">
        <f>IF(W306="","",W366-V366)</f>
        <v/>
      </c>
      <c r="X373" s="392">
        <f>IF(X306="","",X366-W366)</f>
        <v/>
      </c>
      <c r="Y373" s="392">
        <f>IF(Y306="","",Y366-X366)</f>
        <v/>
      </c>
      <c r="Z373" s="392">
        <f>IF(Z306="","",Z366-Y366)</f>
        <v/>
      </c>
      <c r="AA373" s="392">
        <f>IF(AA306="","",AA366-Z366)</f>
        <v/>
      </c>
      <c r="AB373" s="392">
        <f>IF(AB306="","",AB366-AA366)</f>
        <v/>
      </c>
      <c r="AC373" s="392">
        <f>IF(AC306="","",AC366-AB366)</f>
        <v/>
      </c>
      <c r="AD373" s="392">
        <f>IF(AD306="","",AD366-AC366)</f>
        <v/>
      </c>
      <c r="AE373" s="392">
        <f>IF(AE306="","",AE366-AD366)</f>
        <v/>
      </c>
      <c r="AF373" s="392">
        <f>IF(AF306="","",AF366-AE366)</f>
        <v/>
      </c>
      <c r="AG373" s="392">
        <f>IF(AG306="","",AG366-AF366)</f>
        <v/>
      </c>
      <c r="AH373" s="392">
        <f>IF(AH306="","",AH366-AG366)</f>
        <v/>
      </c>
      <c r="AI373" s="392">
        <f>IF(AI306="","",AI366-AH366)</f>
        <v/>
      </c>
      <c r="AJ373" s="392">
        <f>IF(AJ306="","",AJ366-AI366)</f>
        <v/>
      </c>
      <c r="AK373" s="392">
        <f>IF(AK306="","",AK366-AJ366)</f>
        <v/>
      </c>
      <c r="AL373" s="392">
        <f>IF(AL306="","",AL366-AK366)</f>
        <v/>
      </c>
      <c r="AM373" s="392">
        <f>IF(AM306="","",AM366-AL366)</f>
        <v/>
      </c>
      <c r="AN373" s="392">
        <f>IF(AN306="","",AN366-AM366)</f>
        <v/>
      </c>
      <c r="AO373" s="392">
        <f>IF(AO306="","",AO366-AN366)</f>
        <v/>
      </c>
      <c r="AP373" s="392">
        <f>IF(AP306="","",AP366-AO366)</f>
        <v/>
      </c>
      <c r="AQ373" s="392">
        <f>IF(AQ306="","",AQ366-AP366)</f>
        <v/>
      </c>
      <c r="AR373" s="392">
        <f>IF(AR306="","",AR366-AQ366)</f>
        <v/>
      </c>
      <c r="AS373" s="392">
        <f>IF(AS306="","",AS366-AR366)</f>
        <v/>
      </c>
      <c r="AT373" s="392">
        <f>IF(AT306="","",AT366-AS366)</f>
        <v/>
      </c>
      <c r="AU373" s="392">
        <f>IF(AU306="","",AU366-AT366)</f>
        <v/>
      </c>
      <c r="AV373" s="392">
        <f>IF(AV306="","",AV366-AU366)</f>
        <v/>
      </c>
      <c r="AW373" s="392">
        <f>IF(AW306="","",AW366-AV366)</f>
        <v/>
      </c>
      <c r="AX373" s="392">
        <f>IF(AX306="","",AX366-AW366)</f>
        <v/>
      </c>
      <c r="AY373" s="392">
        <f>IF(AY306="","",AY366-AX366)</f>
        <v/>
      </c>
      <c r="AZ373" s="392">
        <f>IF(AZ306="","",AZ366-AY366)</f>
        <v/>
      </c>
      <c r="BA373" s="392">
        <f>IF(BA306="","",BA366-AZ366)</f>
        <v/>
      </c>
      <c r="BB373" s="392">
        <f>IF(BB306="","",BB366-BA366)</f>
        <v/>
      </c>
      <c r="BC373" s="392">
        <f>IF(BC306="","",BC366-BB366)</f>
        <v/>
      </c>
      <c r="BD373" s="392">
        <f>IF(BD306="","",BD366-BC366)</f>
        <v/>
      </c>
      <c r="BE373" s="392">
        <f>IF(BE306="","",BE366-BD366)</f>
        <v/>
      </c>
      <c r="BF373" s="392">
        <f>IF(BF306="","",BF366-BE366)</f>
        <v/>
      </c>
      <c r="BG373" s="392">
        <f>IF(BG306="","",BG366-BF366)</f>
        <v/>
      </c>
      <c r="BH373" s="392">
        <f>IF(BH306="","",BH366-BG366)</f>
        <v/>
      </c>
      <c r="BI373" s="392">
        <f>IF(BI306="","",BI366-BH366)</f>
        <v/>
      </c>
      <c r="BJ373" s="392">
        <f>IF(BJ306="","",BJ366-BI366)</f>
        <v/>
      </c>
      <c r="BK373" s="392">
        <f>IF(BK306="","",BK366-BJ366)</f>
        <v/>
      </c>
      <c r="BL373" s="392">
        <f>IF(BL306="","",BL366-BK366)</f>
        <v/>
      </c>
      <c r="BM373" s="392">
        <f>IF(BM306="","",BM366-BL366)</f>
        <v/>
      </c>
      <c r="BN373" s="392">
        <f>IF(BN306="","",BN366-BM366)</f>
        <v/>
      </c>
      <c r="BO373" s="392">
        <f>IF(BO306="","",BO366-BN366)</f>
        <v/>
      </c>
      <c r="BP373" s="392">
        <f>IF(BP306="","",BP366-BO366)</f>
        <v/>
      </c>
      <c r="BQ373" s="392">
        <f>IF(BQ306="","",BQ366-BP366)</f>
        <v/>
      </c>
      <c r="BR373" s="392">
        <f>IF(BR306="","",BR366-BQ366)</f>
        <v/>
      </c>
      <c r="BS373" s="392">
        <f>IF(BS306="","",BS366-BR366)</f>
        <v/>
      </c>
      <c r="BT373" s="392">
        <f>IF(BT306="","",BT366-BS366)</f>
        <v/>
      </c>
      <c r="BU373" s="392">
        <f>IF(BU306="","",BU366-BT366)</f>
        <v/>
      </c>
      <c r="BV373" s="392">
        <f>IF(BV306="","",BV366-BU366)</f>
        <v/>
      </c>
      <c r="BW373" s="392">
        <f>IF(BW306="","",BW366-BV366)</f>
        <v/>
      </c>
      <c r="BX373" s="392">
        <f>IF(BX306="","",BX366-BW366)</f>
        <v/>
      </c>
      <c r="BY373" s="392">
        <f>IF(BY306="","",BY366-BX366)</f>
        <v/>
      </c>
      <c r="BZ373" s="392">
        <f>IF(BZ306="","",BZ366-BY366)</f>
        <v/>
      </c>
      <c r="CA373" s="392">
        <f>IF(CA306="","",CA366-BZ366)</f>
        <v/>
      </c>
      <c r="CB373" s="392">
        <f>IF(CB306="","",CB366-CA366)</f>
        <v/>
      </c>
      <c r="CC373" s="392">
        <f>IF(CC306="","",CC366-CB366)</f>
        <v/>
      </c>
      <c r="CD373" s="392">
        <f>IF(CD306="","",CD366-CC366)</f>
        <v/>
      </c>
      <c r="CE373" s="392">
        <f>IF(CE306="","",CE366-CD366)</f>
        <v/>
      </c>
      <c r="CF373" s="392">
        <f>IF(CF306="","",CF366-CE366)</f>
        <v/>
      </c>
      <c r="CG373" s="392">
        <f>IF(CG306="","",CG366-CF366)</f>
        <v/>
      </c>
      <c r="CH373" s="392">
        <f>IF(CH306="","",CH366-CG366)</f>
        <v/>
      </c>
      <c r="CI373" s="392">
        <f>IF(CI306="","",CI366-CH366)</f>
        <v/>
      </c>
      <c r="CJ373" s="392">
        <f>IF(CJ306="","",CJ366-CI366)</f>
        <v/>
      </c>
      <c r="CK373" s="392">
        <f>IF(CK306="","",CK366-CJ366)</f>
        <v/>
      </c>
      <c r="CL373" s="392">
        <f>IF(CL306="","",CL366-CK366)</f>
        <v/>
      </c>
      <c r="CM373" s="392">
        <f>IF(CM306="","",CM366-CL366)</f>
        <v/>
      </c>
      <c r="CN373" s="392">
        <f>IF(CN306="","",CN366-CM366)</f>
        <v/>
      </c>
      <c r="CO373" s="392">
        <f>IF(CO306="","",CO366-CN366)</f>
        <v/>
      </c>
      <c r="CP373" s="392">
        <f>IF(CP306="","",CP366-CO366)</f>
        <v/>
      </c>
      <c r="CQ373" s="392">
        <f>IF(CQ306="","",CQ366-CP366)</f>
        <v/>
      </c>
      <c r="CR373" s="392">
        <f>IF(CR306="","",CR366-CQ366)</f>
        <v/>
      </c>
      <c r="CS373" s="392">
        <f>IF(CS306="","",CS366-CR366)</f>
        <v/>
      </c>
      <c r="CT373" s="392">
        <f>IF(CT306="","",CT366-CS366)</f>
        <v/>
      </c>
      <c r="CU373" s="392">
        <f>IF(CU306="","",CU366-CT366)</f>
        <v/>
      </c>
      <c r="CV373" s="392">
        <f>IF(CV306="","",CV366-CU366)</f>
        <v/>
      </c>
      <c r="CW373" s="392">
        <f>IF(CW306="","",CW366-CV366)</f>
        <v/>
      </c>
      <c r="CX373" s="392">
        <f>IF(CX306="","",CX366-CW366)</f>
        <v/>
      </c>
      <c r="CY373" s="392">
        <f>IF(CY306="","",CY366-CX366)</f>
        <v/>
      </c>
      <c r="CZ373" s="392">
        <f>IF(CZ306="","",CZ366-CY366)</f>
        <v/>
      </c>
      <c r="DA373" s="392">
        <f>IF(DA306="","",DA366-CZ366)</f>
        <v/>
      </c>
      <c r="DB373" s="392">
        <f>IF(DB306="","",DB366-DA366)</f>
        <v/>
      </c>
      <c r="DC373" s="392">
        <f>IF(DC306="","",DC366-DB366)</f>
        <v/>
      </c>
      <c r="DD373" s="392">
        <f>IF(DD306="","",DD366-DC366)</f>
        <v/>
      </c>
      <c r="DE373" s="392">
        <f>IF(DE306="","",DE366-DD366)</f>
        <v/>
      </c>
    </row>
    <row r="374" ht="15" customHeight="1" s="410">
      <c r="A374" s="397" t="inlineStr">
        <is>
          <t xml:space="preserve">     Other (CIP, investments, prepaids, P&amp;L items outside the model's SP net income) — plug</t>
        </is>
      </c>
      <c r="B374" s="392">
        <f>IF(B306="","",B306-B369-B370-B371-B372-B373)</f>
        <v/>
      </c>
      <c r="C374" s="392">
        <f>IF(C306="","",C306-C369-C370-C371-C372-C373)</f>
        <v/>
      </c>
      <c r="D374" s="392">
        <f>IF(D306="","",D306-D369-D370-D371-D372-D373)</f>
        <v/>
      </c>
      <c r="E374" s="392">
        <f>IF(E306="","",E306-E369-E370-E371-E372-E373)</f>
        <v/>
      </c>
      <c r="F374" s="392">
        <f>IF(F306="","",F306-F369-F370-F371-F372-F373)</f>
        <v/>
      </c>
      <c r="G374" s="392">
        <f>IF(G306="","",G306-G369-G370-G371-G372-G373)</f>
        <v/>
      </c>
      <c r="H374" s="392">
        <f>IF(H306="","",H306-H369-H370-H371-H372-H373)</f>
        <v/>
      </c>
      <c r="I374" s="392">
        <f>IF(I306="","",I306-I369-I370-I371-I372-I373)</f>
        <v/>
      </c>
      <c r="J374" s="392">
        <f>IF(J306="","",J306-J369-J370-J371-J372-J373)</f>
        <v/>
      </c>
      <c r="K374" s="392">
        <f>IF(K306="","",K306-K369-K370-K371-K372-K373)</f>
        <v/>
      </c>
      <c r="L374" s="392">
        <f>IF(L306="","",L306-L369-L370-L371-L372-L373)</f>
        <v/>
      </c>
      <c r="M374" s="392">
        <f>IF(M306="","",M306-M369-M370-M371-M372-M373)</f>
        <v/>
      </c>
      <c r="N374" s="392">
        <f>IF(N306="","",N306-N369-N370-N371-N372-N373)</f>
        <v/>
      </c>
      <c r="O374" s="392">
        <f>IF(O306="","",O306-O369-O370-O371-O372-O373)</f>
        <v/>
      </c>
      <c r="P374" s="392">
        <f>IF(P306="","",P306-P369-P370-P371-P372-P373)</f>
        <v/>
      </c>
      <c r="Q374" s="392">
        <f>IF(Q306="","",Q306-Q369-Q370-Q371-Q372-Q373)</f>
        <v/>
      </c>
      <c r="R374" s="392">
        <f>IF(R306="","",R306-R369-R370-R371-R372-R373)</f>
        <v/>
      </c>
      <c r="S374" s="392">
        <f>IF(S306="","",S306-S369-S370-S371-S372-S373)</f>
        <v/>
      </c>
      <c r="T374" s="392">
        <f>IF(T306="","",T306-T369-T370-T371-T372-T373)</f>
        <v/>
      </c>
      <c r="U374" s="392">
        <f>IF(U306="","",U306-U369-U370-U371-U372-U373)</f>
        <v/>
      </c>
      <c r="V374" s="392">
        <f>IF(V306="","",V306-V369-V370-V371-V372-V373)</f>
        <v/>
      </c>
      <c r="W374" s="392">
        <f>IF(W306="","",W306-W369-W370-W371-W372-W373)</f>
        <v/>
      </c>
      <c r="X374" s="392">
        <f>IF(X306="","",X306-X369-X370-X371-X372-X373)</f>
        <v/>
      </c>
      <c r="Y374" s="392">
        <f>IF(Y306="","",Y306-Y369-Y370-Y371-Y372-Y373)</f>
        <v/>
      </c>
      <c r="Z374" s="392">
        <f>IF(Z306="","",Z306-Z369-Z370-Z371-Z372-Z373)</f>
        <v/>
      </c>
      <c r="AA374" s="392">
        <f>IF(AA306="","",AA306-AA369-AA370-AA371-AA372-AA373)</f>
        <v/>
      </c>
      <c r="AB374" s="392">
        <f>IF(AB306="","",AB306-AB369-AB370-AB371-AB372-AB373)</f>
        <v/>
      </c>
      <c r="AC374" s="392">
        <f>IF(AC306="","",AC306-AC369-AC370-AC371-AC372-AC373)</f>
        <v/>
      </c>
      <c r="AD374" s="392">
        <f>IF(AD306="","",AD306-AD369-AD370-AD371-AD372-AD373)</f>
        <v/>
      </c>
      <c r="AE374" s="392">
        <f>IF(AE306="","",AE306-AE369-AE370-AE371-AE372-AE373)</f>
        <v/>
      </c>
      <c r="AF374" s="392">
        <f>IF(AF306="","",AF306-AF369-AF370-AF371-AF372-AF373)</f>
        <v/>
      </c>
      <c r="AG374" s="392">
        <f>IF(AG306="","",AG306-AG369-AG370-AG371-AG372-AG373)</f>
        <v/>
      </c>
      <c r="AH374" s="392">
        <f>IF(AH306="","",AH306-AH369-AH370-AH371-AH372-AH373)</f>
        <v/>
      </c>
      <c r="AI374" s="392">
        <f>IF(AI306="","",AI306-AI369-AI370-AI371-AI372-AI373)</f>
        <v/>
      </c>
      <c r="AJ374" s="392">
        <f>IF(AJ306="","",AJ306-AJ369-AJ370-AJ371-AJ372-AJ373)</f>
        <v/>
      </c>
      <c r="AK374" s="392">
        <f>IF(AK306="","",AK306-AK369-AK370-AK371-AK372-AK373)</f>
        <v/>
      </c>
      <c r="AL374" s="392">
        <f>IF(AL306="","",AL306-AL369-AL370-AL371-AL372-AL373)</f>
        <v/>
      </c>
      <c r="AM374" s="392">
        <f>IF(AM306="","",AM306-AM369-AM370-AM371-AM372-AM373)</f>
        <v/>
      </c>
      <c r="AN374" s="392">
        <f>IF(AN306="","",AN306-AN369-AN370-AN371-AN372-AN373)</f>
        <v/>
      </c>
      <c r="AO374" s="392">
        <f>IF(AO306="","",AO306-AO369-AO370-AO371-AO372-AO373)</f>
        <v/>
      </c>
      <c r="AP374" s="392">
        <f>IF(AP306="","",AP306-AP369-AP370-AP371-AP372-AP373)</f>
        <v/>
      </c>
      <c r="AQ374" s="392">
        <f>IF(AQ306="","",AQ306-AQ369-AQ370-AQ371-AQ372-AQ373)</f>
        <v/>
      </c>
      <c r="AR374" s="392">
        <f>IF(AR306="","",AR306-AR369-AR370-AR371-AR372-AR373)</f>
        <v/>
      </c>
      <c r="AS374" s="392">
        <f>IF(AS306="","",AS306-AS369-AS370-AS371-AS372-AS373)</f>
        <v/>
      </c>
      <c r="AT374" s="392">
        <f>IF(AT306="","",AT306-AT369-AT370-AT371-AT372-AT373)</f>
        <v/>
      </c>
      <c r="AU374" s="392">
        <f>IF(AU306="","",AU306-AU369-AU370-AU371-AU372-AU373)</f>
        <v/>
      </c>
      <c r="AV374" s="392">
        <f>IF(AV306="","",AV306-AV369-AV370-AV371-AV372-AV373)</f>
        <v/>
      </c>
      <c r="AW374" s="392">
        <f>IF(AW306="","",AW306-AW369-AW370-AW371-AW372-AW373)</f>
        <v/>
      </c>
      <c r="AX374" s="392">
        <f>IF(AX306="","",AX306-AX369-AX370-AX371-AX372-AX373)</f>
        <v/>
      </c>
      <c r="AY374" s="392">
        <f>IF(AY306="","",AY306-AY369-AY370-AY371-AY372-AY373)</f>
        <v/>
      </c>
      <c r="AZ374" s="392">
        <f>IF(AZ306="","",AZ306-AZ369-AZ370-AZ371-AZ372-AZ373)</f>
        <v/>
      </c>
      <c r="BA374" s="392">
        <f>IF(BA306="","",BA306-BA369-BA370-BA371-BA372-BA373)</f>
        <v/>
      </c>
      <c r="BB374" s="392">
        <f>IF(BB306="","",BB306-BB369-BB370-BB371-BB372-BB373)</f>
        <v/>
      </c>
      <c r="BC374" s="392">
        <f>IF(BC306="","",BC306-BC369-BC370-BC371-BC372-BC373)</f>
        <v/>
      </c>
      <c r="BD374" s="392">
        <f>IF(BD306="","",BD306-BD369-BD370-BD371-BD372-BD373)</f>
        <v/>
      </c>
      <c r="BE374" s="392">
        <f>IF(BE306="","",BE306-BE369-BE370-BE371-BE372-BE373)</f>
        <v/>
      </c>
      <c r="BF374" s="392">
        <f>IF(BF306="","",BF306-BF369-BF370-BF371-BF372-BF373)</f>
        <v/>
      </c>
      <c r="BG374" s="392">
        <f>IF(BG306="","",BG306-BG369-BG370-BG371-BG372-BG373)</f>
        <v/>
      </c>
      <c r="BH374" s="392">
        <f>IF(BH306="","",BH306-BH369-BH370-BH371-BH372-BH373)</f>
        <v/>
      </c>
      <c r="BI374" s="392">
        <f>IF(BI306="","",BI306-BI369-BI370-BI371-BI372-BI373)</f>
        <v/>
      </c>
      <c r="BJ374" s="392">
        <f>IF(BJ306="","",BJ306-BJ369-BJ370-BJ371-BJ372-BJ373)</f>
        <v/>
      </c>
      <c r="BK374" s="392">
        <f>IF(BK306="","",BK306-BK369-BK370-BK371-BK372-BK373)</f>
        <v/>
      </c>
      <c r="BL374" s="392">
        <f>IF(BL306="","",BL306-BL369-BL370-BL371-BL372-BL373)</f>
        <v/>
      </c>
      <c r="BM374" s="392">
        <f>IF(BM306="","",BM306-BM369-BM370-BM371-BM372-BM373)</f>
        <v/>
      </c>
      <c r="BN374" s="392">
        <f>IF(BN306="","",BN306-BN369-BN370-BN371-BN372-BN373)</f>
        <v/>
      </c>
      <c r="BO374" s="392">
        <f>IF(BO306="","",BO306-BO369-BO370-BO371-BO372-BO373)</f>
        <v/>
      </c>
      <c r="BP374" s="392">
        <f>IF(BP306="","",BP306-BP369-BP370-BP371-BP372-BP373)</f>
        <v/>
      </c>
      <c r="BQ374" s="392">
        <f>IF(BQ306="","",BQ306-BQ369-BQ370-BQ371-BQ372-BQ373)</f>
        <v/>
      </c>
      <c r="BR374" s="392">
        <f>IF(BR306="","",BR306-BR369-BR370-BR371-BR372-BR373)</f>
        <v/>
      </c>
      <c r="BS374" s="392">
        <f>IF(BS306="","",BS306-BS369-BS370-BS371-BS372-BS373)</f>
        <v/>
      </c>
      <c r="BT374" s="392">
        <f>IF(BT306="","",BT306-BT369-BT370-BT371-BT372-BT373)</f>
        <v/>
      </c>
      <c r="BU374" s="392">
        <f>IF(BU306="","",BU306-BU369-BU370-BU371-BU372-BU373)</f>
        <v/>
      </c>
      <c r="BV374" s="392">
        <f>IF(BV306="","",BV306-BV369-BV370-BV371-BV372-BV373)</f>
        <v/>
      </c>
      <c r="BW374" s="392">
        <f>IF(BW306="","",BW306-BW369-BW370-BW371-BW372-BW373)</f>
        <v/>
      </c>
      <c r="BX374" s="392">
        <f>IF(BX306="","",BX306-BX369-BX370-BX371-BX372-BX373)</f>
        <v/>
      </c>
      <c r="BY374" s="392">
        <f>IF(BY306="","",BY306-BY369-BY370-BY371-BY372-BY373)</f>
        <v/>
      </c>
      <c r="BZ374" s="392">
        <f>IF(BZ306="","",BZ306-BZ369-BZ370-BZ371-BZ372-BZ373)</f>
        <v/>
      </c>
      <c r="CA374" s="392">
        <f>IF(CA306="","",CA306-CA369-CA370-CA371-CA372-CA373)</f>
        <v/>
      </c>
      <c r="CB374" s="392">
        <f>IF(CB306="","",CB306-CB369-CB370-CB371-CB372-CB373)</f>
        <v/>
      </c>
      <c r="CC374" s="392">
        <f>IF(CC306="","",CC306-CC369-CC370-CC371-CC372-CC373)</f>
        <v/>
      </c>
      <c r="CD374" s="392">
        <f>IF(CD306="","",CD306-CD369-CD370-CD371-CD372-CD373)</f>
        <v/>
      </c>
      <c r="CE374" s="392">
        <f>IF(CE306="","",CE306-CE369-CE370-CE371-CE372-CE373)</f>
        <v/>
      </c>
      <c r="CF374" s="392">
        <f>IF(CF306="","",CF306-CF369-CF370-CF371-CF372-CF373)</f>
        <v/>
      </c>
      <c r="CG374" s="392">
        <f>IF(CG306="","",CG306-CG369-CG370-CG371-CG372-CG373)</f>
        <v/>
      </c>
      <c r="CH374" s="392">
        <f>IF(CH306="","",CH306-CH369-CH370-CH371-CH372-CH373)</f>
        <v/>
      </c>
      <c r="CI374" s="392">
        <f>IF(CI306="","",CI306-CI369-CI370-CI371-CI372-CI373)</f>
        <v/>
      </c>
      <c r="CJ374" s="392">
        <f>IF(CJ306="","",CJ306-CJ369-CJ370-CJ371-CJ372-CJ373)</f>
        <v/>
      </c>
      <c r="CK374" s="392">
        <f>IF(CK306="","",CK306-CK369-CK370-CK371-CK372-CK373)</f>
        <v/>
      </c>
      <c r="CL374" s="392">
        <f>IF(CL306="","",CL306-CL369-CL370-CL371-CL372-CL373)</f>
        <v/>
      </c>
      <c r="CM374" s="392">
        <f>IF(CM306="","",CM306-CM369-CM370-CM371-CM372-CM373)</f>
        <v/>
      </c>
      <c r="CN374" s="392">
        <f>IF(CN306="","",CN306-CN369-CN370-CN371-CN372-CN373)</f>
        <v/>
      </c>
      <c r="CO374" s="392">
        <f>IF(CO306="","",CO306-CO369-CO370-CO371-CO372-CO373)</f>
        <v/>
      </c>
      <c r="CP374" s="392">
        <f>IF(CP306="","",CP306-CP369-CP370-CP371-CP372-CP373)</f>
        <v/>
      </c>
      <c r="CQ374" s="392">
        <f>IF(CQ306="","",CQ306-CQ369-CQ370-CQ371-CQ372-CQ373)</f>
        <v/>
      </c>
      <c r="CR374" s="392">
        <f>IF(CR306="","",CR306-CR369-CR370-CR371-CR372-CR373)</f>
        <v/>
      </c>
      <c r="CS374" s="392">
        <f>IF(CS306="","",CS306-CS369-CS370-CS371-CS372-CS373)</f>
        <v/>
      </c>
      <c r="CT374" s="392">
        <f>IF(CT306="","",CT306-CT369-CT370-CT371-CT372-CT373)</f>
        <v/>
      </c>
      <c r="CU374" s="392">
        <f>IF(CU306="","",CU306-CU369-CU370-CU371-CU372-CU373)</f>
        <v/>
      </c>
      <c r="CV374" s="392">
        <f>IF(CV306="","",CV306-CV369-CV370-CV371-CV372-CV373)</f>
        <v/>
      </c>
      <c r="CW374" s="392">
        <f>IF(CW306="","",CW306-CW369-CW370-CW371-CW372-CW373)</f>
        <v/>
      </c>
      <c r="CX374" s="392">
        <f>IF(CX306="","",CX306-CX369-CX370-CX371-CX372-CX373)</f>
        <v/>
      </c>
      <c r="CY374" s="392">
        <f>IF(CY306="","",CY306-CY369-CY370-CY371-CY372-CY373)</f>
        <v/>
      </c>
      <c r="CZ374" s="392">
        <f>IF(CZ306="","",CZ306-CZ369-CZ370-CZ371-CZ372-CZ373)</f>
        <v/>
      </c>
      <c r="DA374" s="392">
        <f>IF(DA306="","",DA306-DA369-DA370-DA371-DA372-DA373)</f>
        <v/>
      </c>
      <c r="DB374" s="392">
        <f>IF(DB306="","",DB306-DB369-DB370-DB371-DB372-DB373)</f>
        <v/>
      </c>
      <c r="DC374" s="392">
        <f>IF(DC306="","",DC306-DC369-DC370-DC371-DC372-DC373)</f>
        <v/>
      </c>
      <c r="DD374" s="392">
        <f>IF(DD306="","",DD306-DD369-DD370-DD371-DD372-DD373)</f>
        <v/>
      </c>
      <c r="DE374" s="392">
        <f>IF(DE306="","",DE306-DE369-DE370-DE371-DE372-DE373)</f>
        <v/>
      </c>
    </row>
    <row r="375" ht="15" customHeight="1" s="410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5" customHeight="1" s="410">
      <c r="A377" s="455" t="inlineStr">
        <is>
          <t>Notes:</t>
        </is>
      </c>
      <c r="B377" s="392" t="n"/>
      <c r="C377" s="392" t="n"/>
      <c r="D377" s="392" t="n"/>
      <c r="E377" s="392" t="n"/>
      <c r="F377" s="392" t="n"/>
      <c r="G377" s="392" t="n"/>
      <c r="H377" s="392" t="n"/>
      <c r="I377" s="392" t="n"/>
      <c r="J377" s="392" t="n"/>
      <c r="K377" s="392" t="n"/>
      <c r="L377" s="392" t="n"/>
      <c r="M377" s="392" t="n"/>
      <c r="N377" s="392" t="n"/>
      <c r="O377" s="392" t="n"/>
      <c r="P377" s="392" t="n"/>
      <c r="Q377" s="392" t="n"/>
      <c r="R377" s="392" t="n"/>
      <c r="S377" s="392" t="n"/>
      <c r="T377" s="392" t="n"/>
      <c r="U377" s="392" t="n"/>
      <c r="V377" s="392" t="n"/>
      <c r="W377" s="392" t="n"/>
      <c r="X377" s="392" t="n"/>
      <c r="Y377" s="392" t="n"/>
      <c r="Z377" s="392" t="n"/>
      <c r="AA377" s="392" t="n"/>
      <c r="AB377" s="392" t="n"/>
      <c r="AC377" s="392" t="n"/>
      <c r="AD377" s="392" t="n"/>
      <c r="AE377" s="392" t="n"/>
      <c r="AF377" s="392" t="n"/>
      <c r="AG377" s="392" t="n"/>
      <c r="AH377" s="392" t="n"/>
      <c r="AI377" s="392" t="n"/>
      <c r="AJ377" s="392" t="n"/>
      <c r="AK377" s="392" t="n"/>
      <c r="AL377" s="392" t="n"/>
      <c r="AM377" s="392" t="n"/>
      <c r="AN377" s="392" t="n"/>
      <c r="AO377" s="392" t="n"/>
      <c r="AP377" s="392" t="n"/>
      <c r="AQ377" s="392" t="n"/>
      <c r="AR377" s="392" t="n"/>
      <c r="AS377" s="392" t="n"/>
      <c r="AT377" s="392" t="n"/>
      <c r="AU377" s="392" t="n"/>
      <c r="AV377" s="392" t="n"/>
      <c r="AW377" s="392" t="n"/>
      <c r="AX377" s="392" t="n"/>
      <c r="AY377" s="392" t="n"/>
      <c r="AZ377" s="392" t="n"/>
      <c r="BA377" s="392" t="n"/>
      <c r="BB377" s="392" t="n"/>
      <c r="BC377" s="392" t="n"/>
      <c r="BD377" s="392" t="n"/>
      <c r="BE377" s="392" t="n"/>
      <c r="BF377" s="392" t="n"/>
      <c r="BG377" s="392" t="n"/>
      <c r="BH377" s="392" t="n"/>
      <c r="BI377" s="392" t="n"/>
      <c r="BJ377" s="392" t="n"/>
      <c r="BK377" s="392" t="n"/>
      <c r="BL377" s="392" t="n"/>
      <c r="BM377" s="392" t="n"/>
      <c r="BN377" s="392" t="n"/>
      <c r="BO377" s="392" t="n"/>
      <c r="BP377" s="392" t="n"/>
      <c r="BQ377" s="392" t="n"/>
      <c r="BR377" s="392" t="n"/>
      <c r="BS377" s="392" t="n"/>
      <c r="BT377" s="392" t="n"/>
      <c r="BU377" s="392" t="n"/>
      <c r="BV377" s="392" t="n"/>
      <c r="BW377" s="392" t="n"/>
      <c r="BX377" s="392" t="n"/>
      <c r="BY377" s="392" t="n"/>
      <c r="BZ377" s="392" t="n"/>
      <c r="CA377" s="392" t="n"/>
      <c r="CB377" s="392" t="n"/>
      <c r="CC377" s="392" t="n"/>
      <c r="CD377" s="392" t="n"/>
      <c r="CE377" s="392" t="n"/>
      <c r="CF377" s="392" t="n"/>
      <c r="CG377" s="392" t="n"/>
      <c r="CH377" s="392" t="n"/>
      <c r="CI377" s="392" t="n"/>
      <c r="CJ377" s="392" t="n"/>
      <c r="CK377" s="392" t="n"/>
      <c r="CL377" s="392" t="n"/>
      <c r="CM377" s="392" t="n"/>
      <c r="CN377" s="392" t="n"/>
      <c r="CO377" s="392" t="n"/>
      <c r="CP377" s="392" t="n"/>
      <c r="CQ377" s="392" t="n"/>
      <c r="CR377" s="392" t="n"/>
      <c r="CS377" s="392" t="n"/>
      <c r="CT377" s="392" t="n"/>
      <c r="CU377" s="392" t="n"/>
      <c r="CV377" s="392" t="n"/>
      <c r="CW377" s="392" t="n"/>
      <c r="CX377" s="392" t="n"/>
      <c r="CY377" s="392" t="n"/>
      <c r="CZ377" s="392" t="n"/>
      <c r="DA377" s="392" t="n"/>
      <c r="DB377" s="392" t="n"/>
      <c r="DC377" s="392" t="n"/>
      <c r="DD377" s="392" t="n"/>
      <c r="DE377" s="392" t="n"/>
    </row>
    <row r="378" ht="15" customHeight="1" s="410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2" t="n"/>
      <c r="C378" s="392" t="n"/>
      <c r="D378" s="392" t="n"/>
      <c r="E378" s="392" t="n"/>
      <c r="F378" s="392" t="n"/>
      <c r="G378" s="392" t="n"/>
      <c r="H378" s="392" t="n"/>
      <c r="I378" s="392" t="n"/>
      <c r="J378" s="392" t="n"/>
      <c r="K378" s="392" t="n"/>
      <c r="L378" s="392" t="n"/>
      <c r="M378" s="392" t="n"/>
      <c r="N378" s="392" t="n"/>
      <c r="O378" s="392" t="n"/>
      <c r="P378" s="392" t="n"/>
      <c r="Q378" s="392" t="n"/>
      <c r="R378" s="392" t="n"/>
      <c r="S378" s="392" t="n"/>
      <c r="T378" s="392" t="n"/>
      <c r="U378" s="392" t="n"/>
      <c r="V378" s="392" t="n"/>
      <c r="W378" s="392" t="n"/>
      <c r="X378" s="392" t="n"/>
      <c r="Y378" s="392" t="n"/>
      <c r="Z378" s="392" t="n"/>
      <c r="AA378" s="392" t="n"/>
      <c r="AB378" s="392" t="n"/>
      <c r="AC378" s="392" t="n"/>
      <c r="AD378" s="392" t="n"/>
      <c r="AE378" s="392" t="n"/>
      <c r="AF378" s="392" t="n"/>
      <c r="AG378" s="392" t="n"/>
      <c r="AH378" s="392" t="n"/>
      <c r="AI378" s="392" t="n"/>
      <c r="AJ378" s="392" t="n"/>
      <c r="AK378" s="392" t="n"/>
      <c r="AL378" s="392" t="n"/>
      <c r="AM378" s="392" t="n"/>
      <c r="AN378" s="392" t="n"/>
      <c r="AO378" s="392" t="n"/>
      <c r="AP378" s="392" t="n"/>
      <c r="AQ378" s="392" t="n"/>
      <c r="AR378" s="392" t="n"/>
      <c r="AS378" s="392" t="n"/>
      <c r="AT378" s="392" t="n"/>
      <c r="AU378" s="392" t="n"/>
      <c r="AV378" s="392" t="n"/>
      <c r="AW378" s="392" t="n"/>
      <c r="AX378" s="392" t="n"/>
      <c r="AY378" s="392" t="n"/>
      <c r="AZ378" s="392" t="n"/>
      <c r="BA378" s="392" t="n"/>
      <c r="BB378" s="392" t="n"/>
      <c r="BC378" s="392" t="n"/>
      <c r="BD378" s="392" t="n"/>
      <c r="BE378" s="392" t="n"/>
      <c r="BF378" s="392" t="n"/>
      <c r="BG378" s="392" t="n"/>
      <c r="BH378" s="392" t="n"/>
      <c r="BI378" s="392" t="n"/>
      <c r="BJ378" s="392" t="n"/>
      <c r="BK378" s="392" t="n"/>
      <c r="BL378" s="392" t="n"/>
      <c r="BM378" s="392" t="n"/>
      <c r="BN378" s="392" t="n"/>
      <c r="BO378" s="392" t="n"/>
      <c r="BP378" s="392" t="n"/>
      <c r="BQ378" s="392" t="n"/>
      <c r="BR378" s="392" t="n"/>
      <c r="BS378" s="392" t="n"/>
      <c r="BT378" s="392" t="n"/>
      <c r="BU378" s="392" t="n"/>
      <c r="BV378" s="392" t="n"/>
      <c r="BW378" s="392" t="n"/>
      <c r="BX378" s="392" t="n"/>
      <c r="BY378" s="392" t="n"/>
      <c r="BZ378" s="392" t="n"/>
      <c r="CA378" s="392" t="n"/>
      <c r="CB378" s="392" t="n"/>
      <c r="CC378" s="392" t="n"/>
      <c r="CD378" s="392" t="n"/>
      <c r="CE378" s="392" t="n"/>
      <c r="CF378" s="392" t="n"/>
      <c r="CG378" s="392" t="n"/>
      <c r="CH378" s="392" t="n"/>
      <c r="CI378" s="392" t="n"/>
      <c r="CJ378" s="392" t="n"/>
      <c r="CK378" s="392" t="n"/>
      <c r="CL378" s="392" t="n"/>
      <c r="CM378" s="392" t="n"/>
      <c r="CN378" s="392" t="n"/>
      <c r="CO378" s="392" t="n"/>
      <c r="CP378" s="392" t="n"/>
      <c r="CQ378" s="392" t="n"/>
      <c r="CR378" s="392" t="n"/>
      <c r="CS378" s="392" t="n"/>
      <c r="CT378" s="392" t="n"/>
      <c r="CU378" s="392" t="n"/>
      <c r="CV378" s="392" t="n"/>
      <c r="CW378" s="392" t="n"/>
      <c r="CX378" s="392" t="n"/>
      <c r="CY378" s="392" t="n"/>
      <c r="CZ378" s="392" t="n"/>
      <c r="DA378" s="392" t="n"/>
      <c r="DB378" s="392" t="n"/>
      <c r="DC378" s="392" t="n"/>
      <c r="DD378" s="392" t="n"/>
      <c r="DE378" s="392" t="n"/>
    </row>
    <row r="379" ht="15" customHeight="1" s="410">
      <c r="A379" s="450" t="inlineStr">
        <is>
          <t>The $299,000 line of credit was forgiven in June 2026 (non-cash, "debt forgiveness" on the SPC P&amp;L; reversed in Model row 169).</t>
        </is>
      </c>
      <c r="B379" s="392" t="n"/>
      <c r="C379" s="392" t="n"/>
      <c r="D379" s="392" t="n"/>
      <c r="E379" s="392" t="n"/>
      <c r="F379" s="392" t="n"/>
      <c r="G379" s="392" t="n"/>
      <c r="H379" s="392" t="n"/>
      <c r="I379" s="392" t="n"/>
      <c r="J379" s="392" t="n"/>
      <c r="K379" s="392" t="n"/>
      <c r="L379" s="392" t="n"/>
      <c r="M379" s="392" t="n"/>
      <c r="N379" s="392" t="n"/>
      <c r="O379" s="392" t="n"/>
      <c r="P379" s="392" t="n"/>
      <c r="Q379" s="392" t="n"/>
      <c r="R379" s="392" t="n"/>
      <c r="S379" s="392" t="n"/>
      <c r="T379" s="392" t="n"/>
      <c r="U379" s="392" t="n"/>
      <c r="V379" s="392" t="n"/>
      <c r="W379" s="392" t="n"/>
      <c r="X379" s="392" t="n"/>
      <c r="Y379" s="392" t="n"/>
      <c r="Z379" s="392" t="n"/>
      <c r="AA379" s="392" t="n"/>
      <c r="AB379" s="392" t="n"/>
      <c r="AC379" s="392" t="n"/>
      <c r="AD379" s="392" t="n"/>
      <c r="AE379" s="392" t="n"/>
      <c r="AF379" s="392" t="n"/>
      <c r="AG379" s="392" t="n"/>
      <c r="AH379" s="392" t="n"/>
      <c r="AI379" s="392" t="n"/>
      <c r="AJ379" s="392" t="n"/>
      <c r="AK379" s="392" t="n"/>
      <c r="AL379" s="392" t="n"/>
      <c r="AM379" s="392" t="n"/>
      <c r="AN379" s="392" t="n"/>
      <c r="AO379" s="392" t="n"/>
      <c r="AP379" s="392" t="n"/>
      <c r="AQ379" s="392" t="n"/>
      <c r="AR379" s="392" t="n"/>
      <c r="AS379" s="392" t="n"/>
      <c r="AT379" s="392" t="n"/>
      <c r="AU379" s="392" t="n"/>
      <c r="AV379" s="392" t="n"/>
      <c r="AW379" s="392" t="n"/>
      <c r="AX379" s="392" t="n"/>
      <c r="AY379" s="392" t="n"/>
      <c r="AZ379" s="392" t="n"/>
      <c r="BA379" s="392" t="n"/>
      <c r="BB379" s="392" t="n"/>
      <c r="BC379" s="392" t="n"/>
      <c r="BD379" s="392" t="n"/>
      <c r="BE379" s="392" t="n"/>
      <c r="BF379" s="392" t="n"/>
      <c r="BG379" s="392" t="n"/>
      <c r="BH379" s="392" t="n"/>
      <c r="BI379" s="392" t="n"/>
      <c r="BJ379" s="392" t="n"/>
      <c r="BK379" s="392" t="n"/>
      <c r="BL379" s="392" t="n"/>
      <c r="BM379" s="392" t="n"/>
      <c r="BN379" s="392" t="n"/>
      <c r="BO379" s="392" t="n"/>
      <c r="BP379" s="392" t="n"/>
      <c r="BQ379" s="392" t="n"/>
      <c r="BR379" s="392" t="n"/>
      <c r="BS379" s="392" t="n"/>
      <c r="BT379" s="392" t="n"/>
      <c r="BU379" s="392" t="n"/>
      <c r="BV379" s="392" t="n"/>
      <c r="BW379" s="392" t="n"/>
      <c r="BX379" s="392" t="n"/>
      <c r="BY379" s="392" t="n"/>
      <c r="BZ379" s="392" t="n"/>
      <c r="CA379" s="392" t="n"/>
      <c r="CB379" s="392" t="n"/>
      <c r="CC379" s="392" t="n"/>
      <c r="CD379" s="392" t="n"/>
      <c r="CE379" s="392" t="n"/>
      <c r="CF379" s="392" t="n"/>
      <c r="CG379" s="392" t="n"/>
      <c r="CH379" s="392" t="n"/>
      <c r="CI379" s="392" t="n"/>
      <c r="CJ379" s="392" t="n"/>
      <c r="CK379" s="392" t="n"/>
      <c r="CL379" s="392" t="n"/>
      <c r="CM379" s="392" t="n"/>
      <c r="CN379" s="392" t="n"/>
      <c r="CO379" s="392" t="n"/>
      <c r="CP379" s="392" t="n"/>
      <c r="CQ379" s="392" t="n"/>
      <c r="CR379" s="392" t="n"/>
      <c r="CS379" s="392" t="n"/>
      <c r="CT379" s="392" t="n"/>
      <c r="CU379" s="392" t="n"/>
      <c r="CV379" s="392" t="n"/>
      <c r="CW379" s="392" t="n"/>
      <c r="CX379" s="392" t="n"/>
      <c r="CY379" s="392" t="n"/>
      <c r="CZ379" s="392" t="n"/>
      <c r="DA379" s="392" t="n"/>
      <c r="DB379" s="392" t="n"/>
      <c r="DC379" s="392" t="n"/>
      <c r="DD379" s="392" t="n"/>
      <c r="DE379" s="392" t="n"/>
    </row>
    <row r="380" ht="15" customHeight="1" s="410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2" t="n"/>
      <c r="C380" s="392" t="n"/>
      <c r="D380" s="392" t="n"/>
      <c r="E380" s="392" t="n"/>
      <c r="F380" s="392" t="n"/>
      <c r="G380" s="392" t="n"/>
      <c r="H380" s="392" t="n"/>
      <c r="I380" s="392" t="n"/>
      <c r="J380" s="392" t="n"/>
      <c r="K380" s="392" t="n"/>
      <c r="L380" s="392" t="n"/>
      <c r="M380" s="392" t="n"/>
      <c r="N380" s="392" t="n"/>
      <c r="O380" s="392" t="n"/>
      <c r="P380" s="392" t="n"/>
      <c r="Q380" s="392" t="n"/>
      <c r="R380" s="392" t="n"/>
      <c r="S380" s="392" t="n"/>
      <c r="T380" s="392" t="n"/>
      <c r="U380" s="392" t="n"/>
      <c r="V380" s="392" t="n"/>
      <c r="W380" s="392" t="n"/>
      <c r="X380" s="392" t="n"/>
      <c r="Y380" s="392" t="n"/>
      <c r="Z380" s="392" t="n"/>
      <c r="AA380" s="392" t="n"/>
      <c r="AB380" s="392" t="n"/>
      <c r="AC380" s="392" t="n"/>
      <c r="AD380" s="392" t="n"/>
      <c r="AE380" s="392" t="n"/>
      <c r="AF380" s="392" t="n"/>
      <c r="AG380" s="392" t="n"/>
      <c r="AH380" s="392" t="n"/>
      <c r="AI380" s="392" t="n"/>
      <c r="AJ380" s="392" t="n"/>
      <c r="AK380" s="392" t="n"/>
      <c r="AL380" s="392" t="n"/>
      <c r="AM380" s="392" t="n"/>
      <c r="AN380" s="392" t="n"/>
      <c r="AO380" s="392" t="n"/>
      <c r="AP380" s="392" t="n"/>
      <c r="AQ380" s="392" t="n"/>
      <c r="AR380" s="392" t="n"/>
      <c r="AS380" s="392" t="n"/>
      <c r="AT380" s="392" t="n"/>
      <c r="AU380" s="392" t="n"/>
      <c r="AV380" s="392" t="n"/>
      <c r="AW380" s="392" t="n"/>
      <c r="AX380" s="392" t="n"/>
      <c r="AY380" s="392" t="n"/>
      <c r="AZ380" s="392" t="n"/>
      <c r="BA380" s="392" t="n"/>
      <c r="BB380" s="392" t="n"/>
      <c r="BC380" s="392" t="n"/>
      <c r="BD380" s="392" t="n"/>
      <c r="BE380" s="392" t="n"/>
      <c r="BF380" s="392" t="n"/>
      <c r="BG380" s="392" t="n"/>
      <c r="BH380" s="392" t="n"/>
      <c r="BI380" s="392" t="n"/>
      <c r="BJ380" s="392" t="n"/>
      <c r="BK380" s="392" t="n"/>
      <c r="BL380" s="392" t="n"/>
      <c r="BM380" s="392" t="n"/>
      <c r="BN380" s="392" t="n"/>
      <c r="BO380" s="392" t="n"/>
      <c r="BP380" s="392" t="n"/>
      <c r="BQ380" s="392" t="n"/>
      <c r="BR380" s="392" t="n"/>
      <c r="BS380" s="392" t="n"/>
      <c r="BT380" s="392" t="n"/>
      <c r="BU380" s="392" t="n"/>
      <c r="BV380" s="392" t="n"/>
      <c r="BW380" s="392" t="n"/>
      <c r="BX380" s="392" t="n"/>
      <c r="BY380" s="392" t="n"/>
      <c r="BZ380" s="392" t="n"/>
      <c r="CA380" s="392" t="n"/>
      <c r="CB380" s="392" t="n"/>
      <c r="CC380" s="392" t="n"/>
      <c r="CD380" s="392" t="n"/>
      <c r="CE380" s="392" t="n"/>
      <c r="CF380" s="392" t="n"/>
      <c r="CG380" s="392" t="n"/>
      <c r="CH380" s="392" t="n"/>
      <c r="CI380" s="392" t="n"/>
      <c r="CJ380" s="392" t="n"/>
      <c r="CK380" s="392" t="n"/>
      <c r="CL380" s="392" t="n"/>
      <c r="CM380" s="392" t="n"/>
      <c r="CN380" s="392" t="n"/>
      <c r="CO380" s="392" t="n"/>
      <c r="CP380" s="392" t="n"/>
      <c r="CQ380" s="392" t="n"/>
      <c r="CR380" s="392" t="n"/>
      <c r="CS380" s="392" t="n"/>
      <c r="CT380" s="392" t="n"/>
      <c r="CU380" s="392" t="n"/>
      <c r="CV380" s="392" t="n"/>
      <c r="CW380" s="392" t="n"/>
      <c r="CX380" s="392" t="n"/>
      <c r="CY380" s="392" t="n"/>
      <c r="CZ380" s="392" t="n"/>
      <c r="DA380" s="392" t="n"/>
      <c r="DB380" s="392" t="n"/>
      <c r="DC380" s="392" t="n"/>
      <c r="DD380" s="392" t="n"/>
      <c r="DE380" s="39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Format="1" customHeight="1" s="380">
      <c r="A1" s="381" t="inlineStr">
        <is>
          <t>Six Peak Capital - Annual Summary</t>
        </is>
      </c>
      <c r="F1" s="382" t="n"/>
      <c r="G1" s="382" t="n"/>
      <c r="H1" s="382" t="n"/>
      <c r="I1" s="382" t="n"/>
    </row>
    <row r="2" ht="15" customFormat="1" customHeight="1" s="380">
      <c r="A2" s="395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Format="1" customHeight="1" s="380">
      <c r="A4" s="397" t="inlineStr">
        <is>
          <t xml:space="preserve">  Other GC Income</t>
        </is>
      </c>
      <c r="B4" s="392">
        <f>SUM(Model!B10:M10)</f>
        <v/>
      </c>
      <c r="C4" s="392">
        <f>SUM(Model!N10:Y10)</f>
        <v/>
      </c>
      <c r="D4" s="392">
        <f>SUM(Model!Z10:AK10)</f>
        <v/>
      </c>
      <c r="E4" s="392">
        <f>SUM(Model!AL10:AW10)</f>
        <v/>
      </c>
      <c r="F4" s="392">
        <f>SUM(Model!AX10:BI10)</f>
        <v/>
      </c>
      <c r="G4" s="392">
        <f>SUM(Model!BJ10:BU10)</f>
        <v/>
      </c>
      <c r="H4" s="392">
        <f>SUM(Model!BV10:CG10)</f>
        <v/>
      </c>
      <c r="I4" s="392">
        <f>SUM(Model!CH10:CS10)</f>
        <v/>
      </c>
      <c r="J4" s="392">
        <f>SUM(Model!CT10:DE10)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SUM(Model!B11:M11)</f>
        <v/>
      </c>
      <c r="C5" s="392">
        <f>SUM(Model!N11:Y11)</f>
        <v/>
      </c>
      <c r="D5" s="392">
        <f>SUM(Model!Z11:AK11)</f>
        <v/>
      </c>
      <c r="E5" s="392">
        <f>SUM(Model!AL11:AW11)</f>
        <v/>
      </c>
      <c r="F5" s="392">
        <f>SUM(Model!AX11:BI11)</f>
        <v/>
      </c>
      <c r="G5" s="392">
        <f>SUM(Model!BJ11:BU11)</f>
        <v/>
      </c>
      <c r="H5" s="392">
        <f>SUM(Model!BV11:CG11)</f>
        <v/>
      </c>
      <c r="I5" s="392">
        <f>SUM(Model!CH11:CS11)</f>
        <v/>
      </c>
      <c r="J5" s="392">
        <f>SUM(Model!CT11:DE11)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SUM(Model!B57:M57)</f>
        <v/>
      </c>
      <c r="C6" s="392">
        <f>SUM(Model!N57:Y57)</f>
        <v/>
      </c>
      <c r="D6" s="392">
        <f>SUM(Model!Z57:AK57)</f>
        <v/>
      </c>
      <c r="E6" s="392">
        <f>SUM(Model!AL57:AW57)</f>
        <v/>
      </c>
      <c r="F6" s="392">
        <f>SUM(Model!AX57:BI57)</f>
        <v/>
      </c>
      <c r="G6" s="392">
        <f>SUM(Model!BJ57:BU57)</f>
        <v/>
      </c>
      <c r="H6" s="392">
        <f>SUM(Model!BV57:CG57)</f>
        <v/>
      </c>
      <c r="I6" s="392">
        <f>SUM(Model!CH57:CS57)</f>
        <v/>
      </c>
      <c r="J6" s="392">
        <f>SUM(Model!CT57:DE57)</f>
        <v/>
      </c>
    </row>
    <row r="7" ht="15" customFormat="1" customHeight="1" s="380">
      <c r="A7" s="408" t="inlineStr">
        <is>
          <t>Total Revenues</t>
        </is>
      </c>
      <c r="B7" s="409">
        <f>SUM(Model!B58:M58)</f>
        <v/>
      </c>
      <c r="C7" s="409">
        <f>SUM(Model!N58:Y58)</f>
        <v/>
      </c>
      <c r="D7" s="409">
        <f>SUM(Model!Z58:AK58)</f>
        <v/>
      </c>
      <c r="E7" s="409">
        <f>SUM(Model!AL58:AW58)</f>
        <v/>
      </c>
      <c r="F7" s="409">
        <f>SUM(Model!AX58:BI58)</f>
        <v/>
      </c>
      <c r="G7" s="409">
        <f>SUM(Model!BJ58:BU58)</f>
        <v/>
      </c>
      <c r="H7" s="409">
        <f>SUM(Model!BV58:CG58)</f>
        <v/>
      </c>
      <c r="I7" s="409">
        <f>SUM(Model!CH58:CS58)</f>
        <v/>
      </c>
      <c r="J7" s="409">
        <f>SUM(Model!CT58:DE58)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SUM(Model!B104:M104)</f>
        <v/>
      </c>
      <c r="C8" s="392">
        <f>SUM(Model!N104:Y104)</f>
        <v/>
      </c>
      <c r="D8" s="392">
        <f>SUM(Model!Z104:AK104)</f>
        <v/>
      </c>
      <c r="E8" s="392">
        <f>SUM(Model!AL104:AW104)</f>
        <v/>
      </c>
      <c r="F8" s="392">
        <f>SUM(Model!AX104:BI104)</f>
        <v/>
      </c>
      <c r="G8" s="392">
        <f>SUM(Model!BJ104:BU104)</f>
        <v/>
      </c>
      <c r="H8" s="392">
        <f>SUM(Model!BV104:CG104)</f>
        <v/>
      </c>
      <c r="I8" s="392">
        <f>SUM(Model!CH104:CS104)</f>
        <v/>
      </c>
      <c r="J8" s="392">
        <f>SUM(Model!CT104:DE104)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SUM(Model!B105:M105)</f>
        <v/>
      </c>
      <c r="C9" s="392">
        <f>SUM(Model!N105:Y105)</f>
        <v/>
      </c>
      <c r="D9" s="392">
        <f>SUM(Model!Z105:AK105)</f>
        <v/>
      </c>
      <c r="E9" s="392">
        <f>SUM(Model!AL105:AW105)</f>
        <v/>
      </c>
      <c r="F9" s="392">
        <f>SUM(Model!AX105:BI105)</f>
        <v/>
      </c>
      <c r="G9" s="392">
        <f>SUM(Model!BJ105:BU105)</f>
        <v/>
      </c>
      <c r="H9" s="392">
        <f>SUM(Model!BV105:CG105)</f>
        <v/>
      </c>
      <c r="I9" s="392">
        <f>SUM(Model!CH105:CS105)</f>
        <v/>
      </c>
      <c r="J9" s="392">
        <f>SUM(Model!CT105:DE105)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SUM(Model!B106:M106)</f>
        <v/>
      </c>
      <c r="C10" s="392">
        <f>SUM(Model!N106:Y106)</f>
        <v/>
      </c>
      <c r="D10" s="392">
        <f>SUM(Model!Z106:AK106)</f>
        <v/>
      </c>
      <c r="E10" s="392">
        <f>SUM(Model!AL106:AW106)</f>
        <v/>
      </c>
      <c r="F10" s="392">
        <f>SUM(Model!AX106:BI106)</f>
        <v/>
      </c>
      <c r="G10" s="392">
        <f>SUM(Model!BJ106:BU106)</f>
        <v/>
      </c>
      <c r="H10" s="392">
        <f>SUM(Model!BV106:CG106)</f>
        <v/>
      </c>
      <c r="I10" s="392">
        <f>SUM(Model!CH106:CS106)</f>
        <v/>
      </c>
      <c r="J10" s="392">
        <f>SUM(Model!CT106:DE106)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SUM(Model!B107:M107)</f>
        <v/>
      </c>
      <c r="C11" s="392">
        <f>SUM(Model!N107:Y107)</f>
        <v/>
      </c>
      <c r="D11" s="392">
        <f>SUM(Model!Z107:AK107)</f>
        <v/>
      </c>
      <c r="E11" s="392">
        <f>SUM(Model!AL107:AW107)</f>
        <v/>
      </c>
      <c r="F11" s="392">
        <f>SUM(Model!AX107:BI107)</f>
        <v/>
      </c>
      <c r="G11" s="392">
        <f>SUM(Model!BJ107:BU107)</f>
        <v/>
      </c>
      <c r="H11" s="392">
        <f>SUM(Model!BV107:CG107)</f>
        <v/>
      </c>
      <c r="I11" s="392">
        <f>SUM(Model!CH107:CS107)</f>
        <v/>
      </c>
      <c r="J11" s="392">
        <f>SUM(Model!CT107:DE107)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SUM(Model!B108:M108)</f>
        <v/>
      </c>
      <c r="C12" s="392">
        <f>SUM(Model!N108:Y108)</f>
        <v/>
      </c>
      <c r="D12" s="392">
        <f>SUM(Model!Z108:AK108)</f>
        <v/>
      </c>
      <c r="E12" s="392">
        <f>SUM(Model!AL108:AW108)</f>
        <v/>
      </c>
      <c r="F12" s="392">
        <f>SUM(Model!AX108:BI108)</f>
        <v/>
      </c>
      <c r="G12" s="392">
        <f>SUM(Model!BJ108:BU108)</f>
        <v/>
      </c>
      <c r="H12" s="392">
        <f>SUM(Model!BV108:CG108)</f>
        <v/>
      </c>
      <c r="I12" s="392">
        <f>SUM(Model!CH108:CS108)</f>
        <v/>
      </c>
      <c r="J12" s="392">
        <f>SUM(Model!CT108:DE108)</f>
        <v/>
      </c>
    </row>
    <row r="13" ht="15" customFormat="1" customHeight="1" s="380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Format="1" customHeight="1" s="380">
      <c r="A14" s="397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Format="1" customHeight="1" s="380">
      <c r="A16" s="402" t="inlineStr">
        <is>
          <t>GC Costs</t>
        </is>
      </c>
      <c r="B16" s="404" t="n"/>
      <c r="C16" s="404" t="n"/>
      <c r="D16" s="404" t="n"/>
      <c r="E16" s="404" t="n"/>
      <c r="F16" s="404" t="n"/>
      <c r="G16" s="404" t="n"/>
      <c r="H16" s="404" t="n"/>
      <c r="I16" s="404" t="n"/>
      <c r="J16" s="404" t="n"/>
    </row>
    <row r="17" ht="15" customFormat="1" customHeight="1" s="380">
      <c r="A17" s="397" t="inlineStr">
        <is>
          <t xml:space="preserve">  GC Personnel</t>
        </is>
      </c>
      <c r="B17" s="392">
        <f>SUM(Model!B113:M114)+SUM(Model!B116:M120)</f>
        <v/>
      </c>
      <c r="C17" s="392">
        <f>SUM(Model!N113:Y114)+SUM(Model!N116:Y120)</f>
        <v/>
      </c>
      <c r="D17" s="392">
        <f>SUM(Model!Z113:AK114)+SUM(Model!Z116:AK120)</f>
        <v/>
      </c>
      <c r="E17" s="392">
        <f>SUM(Model!AL113:AW114)+SUM(Model!AL116:AW120)</f>
        <v/>
      </c>
      <c r="F17" s="392">
        <f>SUM(Model!AX113:BI114)+SUM(Model!AX116:BI120)</f>
        <v/>
      </c>
      <c r="G17" s="392">
        <f>SUM(Model!BJ113:BU114)+SUM(Model!BJ116:BU120)</f>
        <v/>
      </c>
      <c r="H17" s="392">
        <f>SUM(Model!BV113:CG114)+SUM(Model!BV116:CG120)</f>
        <v/>
      </c>
      <c r="I17" s="392">
        <f>SUM(Model!CH113:CS114)+SUM(Model!CH116:CS120)</f>
        <v/>
      </c>
      <c r="J17" s="392">
        <f>SUM(Model!CT113:DE114)+SUM(Model!CT116:DE120)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SUM(Model!B121:M143)+SUM(Model!B145:M145)</f>
        <v/>
      </c>
      <c r="C18" s="392">
        <f>SUM(Model!N121:Y143)+SUM(Model!N145:Y145)</f>
        <v/>
      </c>
      <c r="D18" s="392">
        <f>SUM(Model!Z121:AK143)+SUM(Model!Z145:AK145)</f>
        <v/>
      </c>
      <c r="E18" s="392">
        <f>SUM(Model!AL121:AW143)+SUM(Model!AL145:AW145)</f>
        <v/>
      </c>
      <c r="F18" s="392">
        <f>SUM(Model!AX121:BI143)+SUM(Model!AX145:BI145)</f>
        <v/>
      </c>
      <c r="G18" s="392">
        <f>SUM(Model!BJ121:BU143)+SUM(Model!BJ145:BU145)</f>
        <v/>
      </c>
      <c r="H18" s="392">
        <f>SUM(Model!BV121:CG143)+SUM(Model!BV145:CG145)</f>
        <v/>
      </c>
      <c r="I18" s="392">
        <f>SUM(Model!CH121:CS143)+SUM(Model!CH145:CS145)</f>
        <v/>
      </c>
      <c r="J18" s="392">
        <f>SUM(Model!CT121:DE143)+SUM(Model!CT145:DE145)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SUM(Model!B115:M115)</f>
        <v/>
      </c>
      <c r="C19" s="392">
        <f>SUM(Model!N115:Y115)</f>
        <v/>
      </c>
      <c r="D19" s="392">
        <f>SUM(Model!Z115:AK115)</f>
        <v/>
      </c>
      <c r="E19" s="392">
        <f>SUM(Model!AL115:AW115)</f>
        <v/>
      </c>
      <c r="F19" s="392">
        <f>SUM(Model!AX115:BI115)</f>
        <v/>
      </c>
      <c r="G19" s="392">
        <f>SUM(Model!BJ115:BU115)</f>
        <v/>
      </c>
      <c r="H19" s="392">
        <f>SUM(Model!BV115:CG115)</f>
        <v/>
      </c>
      <c r="I19" s="392">
        <f>SUM(Model!CH115:CS115)</f>
        <v/>
      </c>
      <c r="J19" s="392">
        <f>SUM(Model!CT115:DE115)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SUM(Model!B144:M144)</f>
        <v/>
      </c>
      <c r="C20" s="392">
        <f>SUM(Model!N144:Y144)</f>
        <v/>
      </c>
      <c r="D20" s="392">
        <f>SUM(Model!Z144:AK144)</f>
        <v/>
      </c>
      <c r="E20" s="392">
        <f>SUM(Model!AL144:AW144)</f>
        <v/>
      </c>
      <c r="F20" s="392">
        <f>SUM(Model!AX144:BI144)</f>
        <v/>
      </c>
      <c r="G20" s="392">
        <f>SUM(Model!BJ144:BU144)</f>
        <v/>
      </c>
      <c r="H20" s="392">
        <f>SUM(Model!BV144:CG144)</f>
        <v/>
      </c>
      <c r="I20" s="392">
        <f>SUM(Model!CH144:CS144)</f>
        <v/>
      </c>
      <c r="J20" s="392">
        <f>SUM(Model!CT144:DE144)</f>
        <v/>
      </c>
    </row>
    <row r="21" ht="15" customFormat="1" customHeight="1" s="380">
      <c r="A21" s="408" t="inlineStr">
        <is>
          <t>Total GC Costs</t>
        </is>
      </c>
      <c r="B21" s="409">
        <f>SUM(Model!B146:M146)</f>
        <v/>
      </c>
      <c r="C21" s="409">
        <f>SUM(Model!N146:Y146)</f>
        <v/>
      </c>
      <c r="D21" s="409">
        <f>SUM(Model!Z146:AK146)</f>
        <v/>
      </c>
      <c r="E21" s="409">
        <f>SUM(Model!AL146:AW146)</f>
        <v/>
      </c>
      <c r="F21" s="409">
        <f>SUM(Model!AX146:BI146)</f>
        <v/>
      </c>
      <c r="G21" s="409">
        <f>SUM(Model!BJ146:BU146)</f>
        <v/>
      </c>
      <c r="H21" s="409">
        <f>SUM(Model!BV146:CG146)</f>
        <v/>
      </c>
      <c r="I21" s="409">
        <f>SUM(Model!CH146:CS146)</f>
        <v/>
      </c>
      <c r="J21" s="409">
        <f>SUM(Model!CT146:DE146)</f>
        <v/>
      </c>
    </row>
    <row r="22" ht="15" customFormat="1" customHeight="1" s="380">
      <c r="A22" s="408" t="inlineStr">
        <is>
          <t>GC Net Income</t>
        </is>
      </c>
      <c r="B22" s="409">
        <f>SUM(Model!B147:M147)</f>
        <v/>
      </c>
      <c r="C22" s="409">
        <f>SUM(Model!N147:Y147)</f>
        <v/>
      </c>
      <c r="D22" s="409">
        <f>SUM(Model!Z147:AK147)</f>
        <v/>
      </c>
      <c r="E22" s="409">
        <f>SUM(Model!AL147:AW147)</f>
        <v/>
      </c>
      <c r="F22" s="409">
        <f>SUM(Model!AX147:BI147)</f>
        <v/>
      </c>
      <c r="G22" s="409">
        <f>SUM(Model!BJ147:BU147)</f>
        <v/>
      </c>
      <c r="H22" s="409">
        <f>SUM(Model!BV147:CG147)</f>
        <v/>
      </c>
      <c r="I22" s="409">
        <f>SUM(Model!CH147:CS147)</f>
        <v/>
      </c>
      <c r="J22" s="409">
        <f>SUM(Model!CT147:DE147)</f>
        <v/>
      </c>
    </row>
    <row r="23" ht="15" customFormat="1" customHeight="1" s="380">
      <c r="A23" s="397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Format="1" customHeight="1" s="380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Format="1" customHeight="1" s="380">
      <c r="A26" s="397" t="inlineStr">
        <is>
          <t>Six Peak Expenses</t>
        </is>
      </c>
      <c r="B26" s="392">
        <f>Model!E202+Model!F202+Model!G202+Model!H202+Model!I202+Model!J202+Model!K202+Model!L202+Model!M202+Model!B202+Model!C202+Model!D202</f>
        <v/>
      </c>
      <c r="C26" s="392">
        <f>Model!N202+Model!O202+Model!P202+Model!Q202+Model!R202+Model!S202+Model!T202+Model!U202+Model!V202+Model!W202+Model!X202+Model!Y202</f>
        <v/>
      </c>
      <c r="D26" s="392">
        <f>Model!Z202+Model!AA202+Model!AB202+Model!AC202+Model!AD202+Model!AE202+Model!AF202+Model!AG202+Model!AH202+Model!AI202+Model!AJ202+Model!AK202</f>
        <v/>
      </c>
      <c r="E26" s="392">
        <f>Model!AL202+Model!AM202+Model!AN202+Model!AO202+Model!AP202+Model!AQ202+Model!AR202+Model!AS202+Model!AT202+Model!AU202+Model!AV202+Model!AW202</f>
        <v/>
      </c>
      <c r="F26" s="392">
        <f>Model!AX202+Model!AY202+Model!AZ202+Model!BA202+Model!BB202+Model!BC202+Model!BD202+Model!BE202+Model!BF202+Model!BG202+Model!BH202+Model!BI202</f>
        <v/>
      </c>
      <c r="G26" s="392">
        <f>Model!BJ202+Model!BK202+Model!BL202+Model!BM202+Model!BN202+Model!BO202+Model!BP202+Model!BQ202+Model!BR202+Model!BS202+Model!BT202+Model!BU202</f>
        <v/>
      </c>
      <c r="H26" s="392">
        <f>Model!BV202+Model!BW202+Model!BX202+Model!BY202+Model!BZ202+Model!CA202+Model!CB202+Model!CC202+Model!CD202+Model!CE202+Model!CF202+Model!CG202</f>
        <v/>
      </c>
      <c r="I26" s="392">
        <f>Model!CH202+Model!CI202+Model!CJ202+Model!CK202+Model!CL202+Model!CM202+Model!CN202+Model!CO202+Model!CP202+Model!CQ202+Model!CR202+Model!CS202</f>
        <v/>
      </c>
      <c r="J26" s="392">
        <f>Model!CT202+Model!CU202+Model!CV202+Model!CW202+Model!CX202+Model!CY202+Model!CZ202+Model!DA202+Model!DB202+Model!DC202+Model!DD202+Model!DE202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Format="1" customHeight="1" s="380">
      <c r="A28" s="382" t="n"/>
      <c r="B28" s="392" t="n"/>
      <c r="C28" s="392" t="n"/>
      <c r="D28" s="392" t="n"/>
      <c r="E28" s="392" t="n"/>
      <c r="F28" s="392" t="n"/>
      <c r="G28" s="392" t="n"/>
      <c r="H28" s="392" t="n"/>
      <c r="I28" s="460" t="n"/>
      <c r="J28" s="460" t="n"/>
    </row>
    <row r="29" ht="15" customFormat="1" customHeight="1" s="380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Format="1" customHeight="1" s="380">
      <c r="A30" s="382" t="n"/>
      <c r="B30" s="392" t="n"/>
      <c r="C30" s="392" t="n"/>
      <c r="D30" s="392" t="n"/>
      <c r="E30" s="392" t="n"/>
      <c r="F30" s="392" t="n"/>
      <c r="G30" s="392" t="n"/>
      <c r="H30" s="392" t="n"/>
      <c r="I30" s="460" t="n"/>
      <c r="J30" s="460" t="n"/>
    </row>
    <row r="31" ht="15" customFormat="1" customHeight="1" s="380">
      <c r="A31" s="402" t="inlineStr">
        <is>
          <t>Steyn Group Fees</t>
        </is>
      </c>
      <c r="B31" s="404" t="n"/>
      <c r="C31" s="404" t="n"/>
      <c r="D31" s="404" t="n"/>
      <c r="E31" s="404" t="n"/>
      <c r="F31" s="404" t="n"/>
      <c r="G31" s="404" t="n"/>
      <c r="H31" s="404" t="n"/>
      <c r="I31" s="404" t="n"/>
      <c r="J31" s="404" t="n"/>
    </row>
    <row r="32" ht="15" customFormat="1" customHeight="1" s="380">
      <c r="A32" s="397" t="inlineStr">
        <is>
          <t xml:space="preserve">  Completion Guaranty Fee</t>
        </is>
      </c>
      <c r="B32" s="392">
        <f>Model!E197+Model!F197+Model!G197+Model!H197+Model!I197+Model!J197+Model!K197+Model!L197+Model!M197+Model!B197+Model!C197+Model!D197</f>
        <v/>
      </c>
      <c r="C32" s="392">
        <f>Model!N197+Model!O197+Model!P197+Model!Q197+Model!R197+Model!S197+Model!T197+Model!U197+Model!V197+Model!W197+Model!X197+Model!Y197</f>
        <v/>
      </c>
      <c r="D32" s="392">
        <f>Model!Z197+Model!AA197+Model!AB197+Model!AC197+Model!AD197+Model!AE197+Model!AF197+Model!AG197+Model!AH197+Model!AI197+Model!AJ197+Model!AK197</f>
        <v/>
      </c>
      <c r="E32" s="392">
        <f>Model!AL197+Model!AM197+Model!AN197+Model!AO197+Model!AP197+Model!AQ197+Model!AR197+Model!AS197+Model!AT197+Model!AU197+Model!AV197+Model!AW197</f>
        <v/>
      </c>
      <c r="F32" s="392">
        <f>Model!AX197+Model!AY197+Model!AZ197+Model!BA197+Model!BB197+Model!BC197+Model!BD197+Model!BE197+Model!BF197+Model!BG197+Model!BH197+Model!BI197</f>
        <v/>
      </c>
      <c r="G32" s="392">
        <f>Model!BJ197+Model!BK197+Model!BL197+Model!BM197+Model!BN197+Model!BO197+Model!BP197+Model!BQ197+Model!BR197+Model!BS197+Model!BT197+Model!BU197</f>
        <v/>
      </c>
      <c r="H32" s="392">
        <f>Model!BV197+Model!BW197+Model!BX197+Model!BY197+Model!BZ197+Model!CA197+Model!CB197+Model!CC197+Model!CD197+Model!CE197+Model!CF197+Model!CG197</f>
        <v/>
      </c>
      <c r="I32" s="392">
        <f>Model!CH197+Model!CI197+Model!CJ197+Model!CK197+Model!CL197+Model!CM197+Model!CN197+Model!CO197+Model!CP197+Model!CQ197+Model!CR197+Model!CS197</f>
        <v/>
      </c>
      <c r="J32" s="392">
        <f>Model!CT197+Model!CU197+Model!CV197+Model!CW197+Model!CX197+Model!CY197+Model!CZ197+Model!DA197+Model!DB197+Model!DC197+Model!DD197+Model!DE197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392">
        <f>Model!E198+Model!F198+Model!G198+Model!H198+Model!I198+Model!J198+Model!K198+Model!L198+Model!M198+Model!B198+Model!C198+Model!D198</f>
        <v/>
      </c>
      <c r="C33" s="392">
        <f>Model!N198+Model!O198+Model!P198+Model!Q198+Model!R198+Model!S198+Model!T198+Model!U198+Model!V198+Model!W198+Model!X198+Model!Y198</f>
        <v/>
      </c>
      <c r="D33" s="392">
        <f>Model!Z198+Model!AA198+Model!AB198+Model!AC198+Model!AD198+Model!AE198+Model!AF198+Model!AG198+Model!AH198+Model!AI198+Model!AJ198+Model!AK198</f>
        <v/>
      </c>
      <c r="E33" s="392">
        <f>Model!AL198+Model!AM198+Model!AN198+Model!AO198+Model!AP198+Model!AQ198+Model!AR198+Model!AS198+Model!AT198+Model!AU198+Model!AV198+Model!AW198</f>
        <v/>
      </c>
      <c r="F33" s="392">
        <f>Model!AX198+Model!AY198+Model!AZ198+Model!BA198+Model!BB198+Model!BC198+Model!BD198+Model!BE198+Model!BF198+Model!BG198+Model!BH198+Model!BI198</f>
        <v/>
      </c>
      <c r="G33" s="392">
        <f>Model!BJ198+Model!BK198+Model!BL198+Model!BM198+Model!BN198+Model!BO198+Model!BP198+Model!BQ198+Model!BR198+Model!BS198+Model!BT198+Model!BU198</f>
        <v/>
      </c>
      <c r="H33" s="392">
        <f>Model!BV198+Model!BW198+Model!BX198+Model!BY198+Model!BZ198+Model!CA198+Model!CB198+Model!CC198+Model!CD198+Model!CE198+Model!CF198+Model!CG198</f>
        <v/>
      </c>
      <c r="I33" s="392">
        <f>Model!CH198+Model!CI198+Model!CJ198+Model!CK198+Model!CL198+Model!CM198+Model!CN198+Model!CO198+Model!CP198+Model!CQ198+Model!CR198+Model!CS198</f>
        <v/>
      </c>
      <c r="J33" s="392">
        <f>Model!CT198+Model!CU198+Model!CV198+Model!CW198+Model!CX198+Model!CY198+Model!CZ198+Model!DA198+Model!DB198+Model!DC198+Model!DD198+Model!DE198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392">
        <f>Model!E199+Model!F199+Model!G199+Model!H199+Model!I199+Model!J199+Model!K199+Model!L199+Model!M199+Model!B199+Model!C199+Model!D199</f>
        <v/>
      </c>
      <c r="C34" s="392">
        <f>Model!N199+Model!O199+Model!P199+Model!Q199+Model!R199+Model!S199+Model!T199+Model!U199+Model!V199+Model!W199+Model!X199+Model!Y199</f>
        <v/>
      </c>
      <c r="D34" s="392">
        <f>Model!Z199+Model!AA199+Model!AB199+Model!AC199+Model!AD199+Model!AE199+Model!AF199+Model!AG199+Model!AH199+Model!AI199+Model!AJ199+Model!AK199</f>
        <v/>
      </c>
      <c r="E34" s="392">
        <f>Model!AL199+Model!AM199+Model!AN199+Model!AO199+Model!AP199+Model!AQ199+Model!AR199+Model!AS199+Model!AT199+Model!AU199+Model!AV199+Model!AW199</f>
        <v/>
      </c>
      <c r="F34" s="392">
        <f>Model!AX199+Model!AY199+Model!AZ199+Model!BA199+Model!BB199+Model!BC199+Model!BD199+Model!BE199+Model!BF199+Model!BG199+Model!BH199+Model!BI199</f>
        <v/>
      </c>
      <c r="G34" s="392">
        <f>Model!BJ199+Model!BK199+Model!BL199+Model!BM199+Model!BN199+Model!BO199+Model!BP199+Model!BQ199+Model!BR199+Model!BS199+Model!BT199+Model!BU199</f>
        <v/>
      </c>
      <c r="H34" s="392">
        <f>Model!BV199+Model!BW199+Model!BX199+Model!BY199+Model!BZ199+Model!CA199+Model!CB199+Model!CC199+Model!CD199+Model!CE199+Model!CF199+Model!CG199</f>
        <v/>
      </c>
      <c r="I34" s="392">
        <f>Model!CH199+Model!CI199+Model!CJ199+Model!CK199+Model!CL199+Model!CM199+Model!CN199+Model!CO199+Model!CP199+Model!CQ199+Model!CR199+Model!CS199</f>
        <v/>
      </c>
      <c r="J34" s="392">
        <f>Model!CT199+Model!CU199+Model!CV199+Model!CW199+Model!CX199+Model!CY199+Model!CZ199+Model!DA199+Model!DB199+Model!DC199+Model!DD199+Model!DE199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392">
        <f>Model!E200+Model!F200+Model!G200+Model!H200+Model!I200+Model!J200+Model!K200+Model!L200+Model!M200+Model!B200+Model!C200+Model!D200</f>
        <v/>
      </c>
      <c r="C35" s="392">
        <f>Model!N200+Model!O200+Model!P200+Model!Q200+Model!R200+Model!S200+Model!T200+Model!U200+Model!V200+Model!W200+Model!X200+Model!Y200</f>
        <v/>
      </c>
      <c r="D35" s="392">
        <f>Model!Z200+Model!AA200+Model!AB200+Model!AC200+Model!AD200+Model!AE200+Model!AF200+Model!AG200+Model!AH200+Model!AI200+Model!AJ200+Model!AK200</f>
        <v/>
      </c>
      <c r="E35" s="392">
        <f>Model!AL200+Model!AM200+Model!AN200+Model!AO200+Model!AP200+Model!AQ200+Model!AR200+Model!AS200+Model!AT200+Model!AU200+Model!AV200+Model!AW200</f>
        <v/>
      </c>
      <c r="F35" s="392">
        <f>Model!AX200+Model!AY200+Model!AZ200+Model!BA200+Model!BB200+Model!BC200+Model!BD200+Model!BE200+Model!BF200+Model!BG200+Model!BH200+Model!BI200</f>
        <v/>
      </c>
      <c r="G35" s="392">
        <f>Model!BJ200+Model!BK200+Model!BL200+Model!BM200+Model!BN200+Model!BO200+Model!BP200+Model!BQ200+Model!BR200+Model!BS200+Model!BT200+Model!BU200</f>
        <v/>
      </c>
      <c r="H35" s="392">
        <f>Model!BV200+Model!BW200+Model!BX200+Model!BY200+Model!BZ200+Model!CA200+Model!CB200+Model!CC200+Model!CD200+Model!CE200+Model!CF200+Model!CG200</f>
        <v/>
      </c>
      <c r="I35" s="392">
        <f>Model!CH200+Model!CI200+Model!CJ200+Model!CK200+Model!CL200+Model!CM200+Model!CN200+Model!CO200+Model!CP200+Model!CQ200+Model!CR200+Model!CS200</f>
        <v/>
      </c>
      <c r="J35" s="392">
        <f>Model!CT200+Model!CU200+Model!CV200+Model!CW200+Model!CX200+Model!CY200+Model!CZ200+Model!DA200+Model!DB200+Model!DC200+Model!DD200+Model!DE200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392">
        <f>Model!E201+Model!F201+Model!G201+Model!H201+Model!I201+Model!J201+Model!K201+Model!L201+Model!M201+Model!B201+Model!C201+Model!D201</f>
        <v/>
      </c>
      <c r="C36" s="392">
        <f>Model!N201+Model!O201+Model!P201+Model!Q201+Model!R201+Model!S201+Model!T201+Model!U201+Model!V201+Model!W201+Model!X201+Model!Y201</f>
        <v/>
      </c>
      <c r="D36" s="392">
        <f>Model!Z201+Model!AA201+Model!AB201+Model!AC201+Model!AD201+Model!AE201+Model!AF201+Model!AG201+Model!AH201+Model!AI201+Model!AJ201+Model!AK201</f>
        <v/>
      </c>
      <c r="E36" s="392">
        <f>Model!AL201+Model!AM201+Model!AN201+Model!AO201+Model!AP201+Model!AQ201+Model!AR201+Model!AS201+Model!AT201+Model!AU201+Model!AV201+Model!AW201</f>
        <v/>
      </c>
      <c r="F36" s="392">
        <f>Model!AX201+Model!AY201+Model!AZ201+Model!BA201+Model!BB201+Model!BC201+Model!BD201+Model!BE201+Model!BF201+Model!BG201+Model!BH201+Model!BI201</f>
        <v/>
      </c>
      <c r="G36" s="392">
        <f>Model!BJ201+Model!BK201+Model!BL201+Model!BM201+Model!BN201+Model!BO201+Model!BP201+Model!BQ201+Model!BR201+Model!BS201+Model!BT201+Model!BU201</f>
        <v/>
      </c>
      <c r="H36" s="392">
        <f>Model!BV201+Model!BW201+Model!BX201+Model!BY201+Model!BZ201+Model!CA201+Model!CB201+Model!CC201+Model!CD201+Model!CE201+Model!CF201+Model!CG201</f>
        <v/>
      </c>
      <c r="I36" s="392">
        <f>Model!CH201+Model!CI201+Model!CJ201+Model!CK201+Model!CL201+Model!CM201+Model!CN201+Model!CO201+Model!CP201+Model!CQ201+Model!CR201+Model!CS201</f>
        <v/>
      </c>
      <c r="J36" s="392">
        <f>Model!CT201+Model!CU201+Model!CV201+Model!CW201+Model!CX201+Model!CY201+Model!CZ201+Model!DA201+Model!DB201+Model!DC201+Model!DD201+Model!DE201</f>
        <v/>
      </c>
    </row>
    <row r="37" ht="15" customFormat="1" customHeight="1" s="380">
      <c r="A37" s="382" t="n"/>
      <c r="B37" s="392" t="n"/>
      <c r="C37" s="392" t="n"/>
      <c r="D37" s="392" t="n"/>
      <c r="E37" s="392" t="n"/>
      <c r="F37" s="392" t="n"/>
      <c r="G37" s="392" t="n"/>
      <c r="H37" s="392" t="n"/>
      <c r="I37" s="460" t="n"/>
      <c r="J37" s="460" t="n"/>
    </row>
    <row r="38" ht="15" customFormat="1" customHeight="1" s="380">
      <c r="A38" s="402" t="inlineStr">
        <is>
          <t>Debt Facilities</t>
        </is>
      </c>
      <c r="B38" s="404" t="n"/>
      <c r="C38" s="404" t="n"/>
      <c r="D38" s="404" t="n"/>
      <c r="E38" s="404" t="n"/>
      <c r="F38" s="404" t="n"/>
      <c r="G38" s="404" t="n"/>
      <c r="H38" s="404" t="n"/>
      <c r="I38" s="404" t="n"/>
      <c r="J38" s="404" t="n"/>
    </row>
    <row r="39" ht="15" customFormat="1" customHeight="1" s="380">
      <c r="A39" s="397" t="inlineStr">
        <is>
          <t xml:space="preserve">  Debt Facility Payment</t>
        </is>
      </c>
      <c r="B39" s="392">
        <f>Model!E220+Model!F220+Model!G220+Model!H220+Model!I220+Model!J220+Model!K220+Model!L220+Model!M220+Model!B220+Model!C220+Model!D220</f>
        <v/>
      </c>
      <c r="C39" s="392">
        <f>Model!N220+Model!O220+Model!P220+Model!Q220+Model!R220+Model!S220+Model!T220+Model!U220+Model!V220+Model!W220+Model!X220+Model!Y220</f>
        <v/>
      </c>
      <c r="D39" s="392">
        <f>Model!Z220+Model!AA220+Model!AB220+Model!AC220+Model!AD220+Model!AE220+Model!AF220+Model!AG220+Model!AH220+Model!AI220+Model!AJ220+Model!AK220</f>
        <v/>
      </c>
      <c r="E39" s="392">
        <f>Model!AL220+Model!AM220+Model!AN220+Model!AO220+Model!AP220+Model!AQ220+Model!AR220+Model!AS220+Model!AT220+Model!AU220+Model!AV220+Model!AW220</f>
        <v/>
      </c>
      <c r="F39" s="392">
        <f>Model!AX220+Model!AY220+Model!AZ220+Model!BA220+Model!BB220+Model!BC220+Model!BD220+Model!BE220+Model!BF220+Model!BG220+Model!BH220+Model!BI220</f>
        <v/>
      </c>
      <c r="G39" s="392">
        <f>Model!BJ220+Model!BK220+Model!BL220+Model!BM220+Model!BN220+Model!BO220+Model!BP220+Model!BQ220+Model!BR220+Model!BS220+Model!BT220+Model!BU220</f>
        <v/>
      </c>
      <c r="H39" s="392">
        <f>Model!BV220+Model!BW220+Model!BX220+Model!BY220+Model!BZ220+Model!CA220+Model!CB220+Model!CC220+Model!CD220+Model!CE220+Model!CF220+Model!CG220</f>
        <v/>
      </c>
      <c r="I39" s="392">
        <f>Model!CH220+Model!CI220+Model!CJ220+Model!CK220+Model!CL220+Model!CM220+Model!CN220+Model!CO220+Model!CP220+Model!CQ220+Model!CR220+Model!CS220</f>
        <v/>
      </c>
      <c r="J39" s="392">
        <f>Model!CT220+Model!CU220+Model!CV220+Model!CW220+Model!CX220+Model!CY220+Model!CZ220+Model!DA220+Model!DB220+Model!DC220+Model!DD220+Model!DE220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392">
        <f>Model!M221</f>
        <v/>
      </c>
      <c r="C40" s="392">
        <f>Model!Y221</f>
        <v/>
      </c>
      <c r="D40" s="392">
        <f>Model!AK221</f>
        <v/>
      </c>
      <c r="E40" s="392">
        <f>Model!AW221</f>
        <v/>
      </c>
      <c r="F40" s="392">
        <f>Model!BI221</f>
        <v/>
      </c>
      <c r="G40" s="392">
        <f>Model!BU221</f>
        <v/>
      </c>
      <c r="H40" s="392">
        <f>Model!CG221</f>
        <v/>
      </c>
      <c r="I40" s="392">
        <f>Model!CS221</f>
        <v/>
      </c>
      <c r="J40" s="39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392">
        <f>Model!E226+Model!F226+Model!G226+Model!H226+Model!I226+Model!J226+Model!K226+Model!L226+Model!M226+Model!B226+Model!C226+Model!D226</f>
        <v/>
      </c>
      <c r="C41" s="392">
        <f>Model!N226+Model!O226+Model!P226+Model!Q226+Model!R226+Model!S226+Model!T226+Model!U226+Model!V226+Model!W226+Model!X226+Model!Y226</f>
        <v/>
      </c>
      <c r="D41" s="392">
        <f>Model!Z226+Model!AA226+Model!AB226+Model!AC226+Model!AD226+Model!AE226+Model!AF226+Model!AG226+Model!AH226+Model!AI226+Model!AJ226+Model!AK226</f>
        <v/>
      </c>
      <c r="E41" s="392">
        <f>Model!AL226+Model!AM226+Model!AN226+Model!AO226+Model!AP226+Model!AQ226+Model!AR226+Model!AS226+Model!AT226+Model!AU226+Model!AV226+Model!AW226</f>
        <v/>
      </c>
      <c r="F41" s="392">
        <f>Model!AX226+Model!AY226+Model!AZ226+Model!BA226+Model!BB226+Model!BC226+Model!BD226+Model!BE226+Model!BF226+Model!BG226+Model!BH226+Model!BI226</f>
        <v/>
      </c>
      <c r="G41" s="392">
        <f>Model!BJ226+Model!BK226+Model!BL226+Model!BM226+Model!BN226+Model!BO226+Model!BP226+Model!BQ226+Model!BR226+Model!BS226+Model!BT226+Model!BU226</f>
        <v/>
      </c>
      <c r="H41" s="392">
        <f>Model!BV226+Model!BW226+Model!BX226+Model!BY226+Model!BZ226+Model!CA226+Model!CB226+Model!CC226+Model!CD226+Model!CE226+Model!CF226+Model!CG226</f>
        <v/>
      </c>
      <c r="I41" s="392">
        <f>Model!CH226+Model!CI226+Model!CJ226+Model!CK226+Model!CL226+Model!CM226+Model!CN226+Model!CO226+Model!CP226+Model!CQ226+Model!CR226+Model!CS226</f>
        <v/>
      </c>
      <c r="J41" s="392">
        <f>Model!CT226+Model!CU226+Model!CV226+Model!CW226+Model!CX226+Model!CY226+Model!CZ226+Model!DA226+Model!DB226+Model!DC226+Model!DD226+Model!DE226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392">
        <f>Model!M227</f>
        <v/>
      </c>
      <c r="C42" s="392">
        <f>Model!Y227</f>
        <v/>
      </c>
      <c r="D42" s="392">
        <f>Model!AK227</f>
        <v/>
      </c>
      <c r="E42" s="392">
        <f>Model!AW227</f>
        <v/>
      </c>
      <c r="F42" s="392">
        <f>Model!BI227</f>
        <v/>
      </c>
      <c r="G42" s="392">
        <f>Model!BU227</f>
        <v/>
      </c>
      <c r="H42" s="392">
        <f>Model!CG227</f>
        <v/>
      </c>
      <c r="I42" s="392">
        <f>Model!CS227</f>
        <v/>
      </c>
      <c r="J42" s="39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392">
        <f>Model!E280+Model!F280+Model!G280+Model!H280+Model!I280+Model!J280+Model!K280+Model!L280+Model!M280+Model!B280+Model!C280+Model!D280</f>
        <v/>
      </c>
      <c r="C43" s="392">
        <f>Model!N280+Model!O280+Model!P280+Model!Q280+Model!R280+Model!S280+Model!T280+Model!U280+Model!V280+Model!W280+Model!X280+Model!Y280</f>
        <v/>
      </c>
      <c r="D43" s="392">
        <f>Model!Z280+Model!AA280+Model!AB280+Model!AC280+Model!AD280+Model!AE280+Model!AF280+Model!AG280+Model!AH280+Model!AI280+Model!AJ280+Model!AK280</f>
        <v/>
      </c>
      <c r="E43" s="392">
        <f>Model!AL280+Model!AM280+Model!AN280+Model!AO280+Model!AP280+Model!AQ280+Model!AR280+Model!AS280+Model!AT280+Model!AU280+Model!AV280+Model!AW280</f>
        <v/>
      </c>
      <c r="F43" s="392">
        <f>Model!AX280+Model!AY280+Model!AZ280+Model!BA280+Model!BB280+Model!BC280+Model!BD280+Model!BE280+Model!BF280+Model!BG280+Model!BH280+Model!BI280</f>
        <v/>
      </c>
      <c r="G43" s="392">
        <f>Model!BJ280+Model!BK280+Model!BL280+Model!BM280+Model!BN280+Model!BO280+Model!BP280+Model!BQ280+Model!BR280+Model!BS280+Model!BT280+Model!BU280</f>
        <v/>
      </c>
      <c r="H43" s="392">
        <f>Model!BV280+Model!BW280+Model!BX280+Model!BY280+Model!BZ280+Model!CA280+Model!CB280+Model!CC280+Model!CD280+Model!CE280+Model!CF280+Model!CG280</f>
        <v/>
      </c>
      <c r="I43" s="392">
        <f>Model!CH280+Model!CI280+Model!CJ280+Model!CK280+Model!CL280+Model!CM280+Model!CN280+Model!CO280+Model!CP280+Model!CQ280+Model!CR280+Model!CS280</f>
        <v/>
      </c>
      <c r="J43" s="392">
        <f>Model!CT280+Model!CU280+Model!CV280+Model!CW280+Model!CX280+Model!CY280+Model!CZ280+Model!DA280+Model!DB280+Model!DC280+Model!DD280+Model!DE280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392">
        <f>Model!M234+Model!M239+Model!M244+Model!M249</f>
        <v/>
      </c>
      <c r="C44" s="392">
        <f>Model!Y234+Model!Y239+Model!Y244+Model!Y249</f>
        <v/>
      </c>
      <c r="D44" s="392">
        <f>Model!AK234+Model!AK239+Model!AK244+Model!AK249</f>
        <v/>
      </c>
      <c r="E44" s="392">
        <f>Model!AW234+Model!AW239+Model!AW244+Model!AW249</f>
        <v/>
      </c>
      <c r="F44" s="392">
        <f>Model!BI234+Model!BI239+Model!BI244+Model!BI249</f>
        <v/>
      </c>
      <c r="G44" s="392">
        <f>Model!BU234+Model!BU239+Model!BU244+Model!BU249</f>
        <v/>
      </c>
      <c r="H44" s="392">
        <f>Model!CG234+Model!CG239+Model!CG244+Model!CG249</f>
        <v/>
      </c>
      <c r="I44" s="392">
        <f>Model!CS234+Model!CS239+Model!CS244+Model!CS249</f>
        <v/>
      </c>
      <c r="J44" s="392">
        <f>Model!DE234+Model!DE239+Model!DE244+Model!DE249</f>
        <v/>
      </c>
    </row>
    <row r="45" ht="15" customFormat="1" customHeight="1" s="380">
      <c r="A45" s="382" t="n"/>
      <c r="B45" s="392" t="n"/>
      <c r="C45" s="392" t="n"/>
      <c r="D45" s="392" t="n"/>
      <c r="E45" s="392" t="n"/>
      <c r="F45" s="392" t="n"/>
      <c r="G45" s="392" t="n"/>
      <c r="H45" s="392" t="n"/>
      <c r="I45" s="460" t="n"/>
      <c r="J45" s="460" t="n"/>
    </row>
    <row r="46" ht="15" customFormat="1" customHeight="1" s="380">
      <c r="A46" s="397" t="inlineStr">
        <is>
          <t>Bonding Outstanding</t>
        </is>
      </c>
      <c r="B46" s="392">
        <f>Model!M260</f>
        <v/>
      </c>
      <c r="C46" s="392">
        <f>Model!Y260</f>
        <v/>
      </c>
      <c r="D46" s="392">
        <f>Model!AK260</f>
        <v/>
      </c>
      <c r="E46" s="392">
        <f>Model!AW260</f>
        <v/>
      </c>
      <c r="F46" s="392">
        <f>Model!BI260</f>
        <v/>
      </c>
      <c r="G46" s="392">
        <f>Model!BU260</f>
        <v/>
      </c>
      <c r="H46" s="392">
        <f>Model!CG260</f>
        <v/>
      </c>
      <c r="I46" s="392">
        <f>Model!CS260</f>
        <v/>
      </c>
      <c r="J46" s="392">
        <f>Model!DE260</f>
        <v/>
      </c>
    </row>
    <row r="47" ht="15" customFormat="1" customHeight="1" s="380">
      <c r="A47" s="382" t="n"/>
      <c r="B47" s="392" t="n"/>
      <c r="C47" s="392" t="n"/>
      <c r="D47" s="392" t="n"/>
      <c r="E47" s="392" t="n"/>
      <c r="F47" s="392" t="n"/>
      <c r="G47" s="392" t="n"/>
      <c r="H47" s="392" t="n"/>
      <c r="I47" s="460" t="n"/>
      <c r="J47" s="460" t="n"/>
    </row>
    <row r="48" ht="15" customFormat="1" customHeight="1" s="380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37"/>
  </cols>
  <sheetData>
    <row r="1" ht="17.25" customFormat="1" customHeight="1" s="380">
      <c r="A1" s="381" t="inlineStr">
        <is>
          <t>Six Peak Capital - QTR Summary</t>
        </is>
      </c>
      <c r="F1" s="382" t="n"/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</row>
    <row r="2" ht="15" customFormat="1" customHeight="1" s="380">
      <c r="A2" s="395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Format="1" customHeight="1" s="380">
      <c r="A4" s="397" t="inlineStr">
        <is>
          <t xml:space="preserve">  Other GC Income</t>
        </is>
      </c>
      <c r="B4" s="392">
        <f>SUM(Model!B10:D10)</f>
        <v/>
      </c>
      <c r="C4" s="392">
        <f>SUM(Model!E10:G10)</f>
        <v/>
      </c>
      <c r="D4" s="392">
        <f>SUM(Model!H10:J10)</f>
        <v/>
      </c>
      <c r="E4" s="392">
        <f>SUM(Model!K10:M10)</f>
        <v/>
      </c>
      <c r="F4" s="392">
        <f>SUM(Model!N10:P10)</f>
        <v/>
      </c>
      <c r="G4" s="392">
        <f>SUM(Model!Q10:S10)</f>
        <v/>
      </c>
      <c r="H4" s="392">
        <f>SUM(Model!T10:V10)</f>
        <v/>
      </c>
      <c r="I4" s="392">
        <f>SUM(Model!W10:Y10)</f>
        <v/>
      </c>
      <c r="J4" s="392">
        <f>SUM(Model!Z10:AB10)</f>
        <v/>
      </c>
      <c r="K4" s="392">
        <f>SUM(Model!AC10:AE10)</f>
        <v/>
      </c>
      <c r="L4" s="392">
        <f>SUM(Model!AF10:AH10)</f>
        <v/>
      </c>
      <c r="M4" s="392">
        <f>SUM(Model!AI10:AK10)</f>
        <v/>
      </c>
      <c r="N4" s="392">
        <f>SUM(Model!AL10:AN10)</f>
        <v/>
      </c>
      <c r="O4" s="392">
        <f>SUM(Model!AO10:AQ10)</f>
        <v/>
      </c>
      <c r="P4" s="392">
        <f>SUM(Model!AR10:AT10)</f>
        <v/>
      </c>
      <c r="Q4" s="392">
        <f>SUM(Model!AU10:AW10)</f>
        <v/>
      </c>
      <c r="R4" s="392">
        <f>SUM(Model!AX10:AZ10)</f>
        <v/>
      </c>
      <c r="S4" s="392">
        <f>SUM(Model!BA10:BC10)</f>
        <v/>
      </c>
      <c r="T4" s="392">
        <f>SUM(Model!BD10:BF10)</f>
        <v/>
      </c>
      <c r="U4" s="392">
        <f>SUM(Model!BG10:BI10)</f>
        <v/>
      </c>
      <c r="V4" s="392">
        <f>SUM(Model!BJ10:BL10)</f>
        <v/>
      </c>
      <c r="W4" s="392">
        <f>SUM(Model!BM10:BO10)</f>
        <v/>
      </c>
      <c r="X4" s="392">
        <f>SUM(Model!BP10:BR10)</f>
        <v/>
      </c>
      <c r="Y4" s="392">
        <f>SUM(Model!BS10:BU10)</f>
        <v/>
      </c>
      <c r="Z4" s="392">
        <f>SUM(Model!BV10:BX10)</f>
        <v/>
      </c>
      <c r="AA4" s="392">
        <f>SUM(Model!BY10:CA10)</f>
        <v/>
      </c>
      <c r="AB4" s="392">
        <f>SUM(Model!CB10:CD10)</f>
        <v/>
      </c>
      <c r="AC4" s="392">
        <f>SUM(Model!CE10:CG10)</f>
        <v/>
      </c>
      <c r="AD4" s="392">
        <f>SUM(Model!CH10:CJ10)</f>
        <v/>
      </c>
      <c r="AE4" s="392">
        <f>SUM(Model!CK10:CM10)</f>
        <v/>
      </c>
      <c r="AF4" s="392">
        <f>SUM(Model!CN10:CP10)</f>
        <v/>
      </c>
      <c r="AG4" s="392">
        <f>SUM(Model!CQ10:CS10)</f>
        <v/>
      </c>
      <c r="AH4" s="392">
        <f>SUM(Model!CT10:CV10)</f>
        <v/>
      </c>
      <c r="AI4" s="392">
        <f>SUM(Model!CW10:CY10)</f>
        <v/>
      </c>
      <c r="AJ4" s="392">
        <f>SUM(Model!CZ10:DB10)</f>
        <v/>
      </c>
      <c r="AK4" s="392">
        <f>SUM(Model!DC10:DE10)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SUM(Model!B11:D11)</f>
        <v/>
      </c>
      <c r="C5" s="392">
        <f>SUM(Model!E11:G11)</f>
        <v/>
      </c>
      <c r="D5" s="392">
        <f>SUM(Model!H11:J11)</f>
        <v/>
      </c>
      <c r="E5" s="392">
        <f>SUM(Model!K11:M11)</f>
        <v/>
      </c>
      <c r="F5" s="392">
        <f>SUM(Model!N11:P11)</f>
        <v/>
      </c>
      <c r="G5" s="392">
        <f>SUM(Model!Q11:S11)</f>
        <v/>
      </c>
      <c r="H5" s="392">
        <f>SUM(Model!T11:V11)</f>
        <v/>
      </c>
      <c r="I5" s="392">
        <f>SUM(Model!W11:Y11)</f>
        <v/>
      </c>
      <c r="J5" s="392">
        <f>SUM(Model!Z11:AB11)</f>
        <v/>
      </c>
      <c r="K5" s="392">
        <f>SUM(Model!AC11:AE11)</f>
        <v/>
      </c>
      <c r="L5" s="392">
        <f>SUM(Model!AF11:AH11)</f>
        <v/>
      </c>
      <c r="M5" s="392">
        <f>SUM(Model!AI11:AK11)</f>
        <v/>
      </c>
      <c r="N5" s="392">
        <f>SUM(Model!AL11:AN11)</f>
        <v/>
      </c>
      <c r="O5" s="392">
        <f>SUM(Model!AO11:AQ11)</f>
        <v/>
      </c>
      <c r="P5" s="392">
        <f>SUM(Model!AR11:AT11)</f>
        <v/>
      </c>
      <c r="Q5" s="392">
        <f>SUM(Model!AU11:AW11)</f>
        <v/>
      </c>
      <c r="R5" s="392">
        <f>SUM(Model!AX11:AZ11)</f>
        <v/>
      </c>
      <c r="S5" s="392">
        <f>SUM(Model!BA11:BC11)</f>
        <v/>
      </c>
      <c r="T5" s="392">
        <f>SUM(Model!BD11:BF11)</f>
        <v/>
      </c>
      <c r="U5" s="392">
        <f>SUM(Model!BG11:BI11)</f>
        <v/>
      </c>
      <c r="V5" s="392">
        <f>SUM(Model!BJ11:BL11)</f>
        <v/>
      </c>
      <c r="W5" s="392">
        <f>SUM(Model!BM11:BO11)</f>
        <v/>
      </c>
      <c r="X5" s="392">
        <f>SUM(Model!BP11:BR11)</f>
        <v/>
      </c>
      <c r="Y5" s="392">
        <f>SUM(Model!BS11:BU11)</f>
        <v/>
      </c>
      <c r="Z5" s="392">
        <f>SUM(Model!BV11:BX11)</f>
        <v/>
      </c>
      <c r="AA5" s="392">
        <f>SUM(Model!BY11:CA11)</f>
        <v/>
      </c>
      <c r="AB5" s="392">
        <f>SUM(Model!CB11:CD11)</f>
        <v/>
      </c>
      <c r="AC5" s="392">
        <f>SUM(Model!CE11:CG11)</f>
        <v/>
      </c>
      <c r="AD5" s="392">
        <f>SUM(Model!CH11:CJ11)</f>
        <v/>
      </c>
      <c r="AE5" s="392">
        <f>SUM(Model!CK11:CM11)</f>
        <v/>
      </c>
      <c r="AF5" s="392">
        <f>SUM(Model!CN11:CP11)</f>
        <v/>
      </c>
      <c r="AG5" s="392">
        <f>SUM(Model!CQ11:CS11)</f>
        <v/>
      </c>
      <c r="AH5" s="392">
        <f>SUM(Model!CT11:CV11)</f>
        <v/>
      </c>
      <c r="AI5" s="392">
        <f>SUM(Model!CW11:CY11)</f>
        <v/>
      </c>
      <c r="AJ5" s="392">
        <f>SUM(Model!CZ11:DB11)</f>
        <v/>
      </c>
      <c r="AK5" s="392">
        <f>SUM(Model!DC11:DE11)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SUM(Model!B57:D57)</f>
        <v/>
      </c>
      <c r="C6" s="392">
        <f>SUM(Model!E57:G57)</f>
        <v/>
      </c>
      <c r="D6" s="392">
        <f>SUM(Model!H57:J57)</f>
        <v/>
      </c>
      <c r="E6" s="392">
        <f>SUM(Model!K57:M57)</f>
        <v/>
      </c>
      <c r="F6" s="392">
        <f>SUM(Model!N57:P57)</f>
        <v/>
      </c>
      <c r="G6" s="392">
        <f>SUM(Model!Q57:S57)</f>
        <v/>
      </c>
      <c r="H6" s="392">
        <f>SUM(Model!T57:V57)</f>
        <v/>
      </c>
      <c r="I6" s="392">
        <f>SUM(Model!W57:Y57)</f>
        <v/>
      </c>
      <c r="J6" s="392">
        <f>SUM(Model!Z57:AB57)</f>
        <v/>
      </c>
      <c r="K6" s="392">
        <f>SUM(Model!AC57:AE57)</f>
        <v/>
      </c>
      <c r="L6" s="392">
        <f>SUM(Model!AF57:AH57)</f>
        <v/>
      </c>
      <c r="M6" s="392">
        <f>SUM(Model!AI57:AK57)</f>
        <v/>
      </c>
      <c r="N6" s="392">
        <f>SUM(Model!AL57:AN57)</f>
        <v/>
      </c>
      <c r="O6" s="392">
        <f>SUM(Model!AO57:AQ57)</f>
        <v/>
      </c>
      <c r="P6" s="392">
        <f>SUM(Model!AR57:AT57)</f>
        <v/>
      </c>
      <c r="Q6" s="392">
        <f>SUM(Model!AU57:AW57)</f>
        <v/>
      </c>
      <c r="R6" s="392">
        <f>SUM(Model!AX57:AZ57)</f>
        <v/>
      </c>
      <c r="S6" s="392">
        <f>SUM(Model!BA57:BC57)</f>
        <v/>
      </c>
      <c r="T6" s="392">
        <f>SUM(Model!BD57:BF57)</f>
        <v/>
      </c>
      <c r="U6" s="392">
        <f>SUM(Model!BG57:BI57)</f>
        <v/>
      </c>
      <c r="V6" s="392">
        <f>SUM(Model!BJ57:BL57)</f>
        <v/>
      </c>
      <c r="W6" s="392">
        <f>SUM(Model!BM57:BO57)</f>
        <v/>
      </c>
      <c r="X6" s="392">
        <f>SUM(Model!BP57:BR57)</f>
        <v/>
      </c>
      <c r="Y6" s="392">
        <f>SUM(Model!BS57:BU57)</f>
        <v/>
      </c>
      <c r="Z6" s="392">
        <f>SUM(Model!BV57:BX57)</f>
        <v/>
      </c>
      <c r="AA6" s="392">
        <f>SUM(Model!BY57:CA57)</f>
        <v/>
      </c>
      <c r="AB6" s="392">
        <f>SUM(Model!CB57:CD57)</f>
        <v/>
      </c>
      <c r="AC6" s="392">
        <f>SUM(Model!CE57:CG57)</f>
        <v/>
      </c>
      <c r="AD6" s="392">
        <f>SUM(Model!CH57:CJ57)</f>
        <v/>
      </c>
      <c r="AE6" s="392">
        <f>SUM(Model!CK57:CM57)</f>
        <v/>
      </c>
      <c r="AF6" s="392">
        <f>SUM(Model!CN57:CP57)</f>
        <v/>
      </c>
      <c r="AG6" s="392">
        <f>SUM(Model!CQ57:CS57)</f>
        <v/>
      </c>
      <c r="AH6" s="392">
        <f>SUM(Model!CT57:CV57)</f>
        <v/>
      </c>
      <c r="AI6" s="392">
        <f>SUM(Model!CW57:CY57)</f>
        <v/>
      </c>
      <c r="AJ6" s="392">
        <f>SUM(Model!CZ57:DB57)</f>
        <v/>
      </c>
      <c r="AK6" s="392">
        <f>SUM(Model!DC57:DE57)</f>
        <v/>
      </c>
    </row>
    <row r="7" ht="15" customFormat="1" customHeight="1" s="380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SUM(Model!B104:D104)</f>
        <v/>
      </c>
      <c r="C8" s="392">
        <f>SUM(Model!E104:G104)</f>
        <v/>
      </c>
      <c r="D8" s="392">
        <f>SUM(Model!H104:J104)</f>
        <v/>
      </c>
      <c r="E8" s="392">
        <f>SUM(Model!K104:M104)</f>
        <v/>
      </c>
      <c r="F8" s="392">
        <f>SUM(Model!N104:P104)</f>
        <v/>
      </c>
      <c r="G8" s="392">
        <f>SUM(Model!Q104:S104)</f>
        <v/>
      </c>
      <c r="H8" s="392">
        <f>SUM(Model!T104:V104)</f>
        <v/>
      </c>
      <c r="I8" s="392">
        <f>SUM(Model!W104:Y104)</f>
        <v/>
      </c>
      <c r="J8" s="392">
        <f>SUM(Model!Z104:AB104)</f>
        <v/>
      </c>
      <c r="K8" s="392">
        <f>SUM(Model!AC104:AE104)</f>
        <v/>
      </c>
      <c r="L8" s="392">
        <f>SUM(Model!AF104:AH104)</f>
        <v/>
      </c>
      <c r="M8" s="392">
        <f>SUM(Model!AI104:AK104)</f>
        <v/>
      </c>
      <c r="N8" s="392">
        <f>SUM(Model!AL104:AN104)</f>
        <v/>
      </c>
      <c r="O8" s="392">
        <f>SUM(Model!AO104:AQ104)</f>
        <v/>
      </c>
      <c r="P8" s="392">
        <f>SUM(Model!AR104:AT104)</f>
        <v/>
      </c>
      <c r="Q8" s="392">
        <f>SUM(Model!AU104:AW104)</f>
        <v/>
      </c>
      <c r="R8" s="392">
        <f>SUM(Model!AX104:AZ104)</f>
        <v/>
      </c>
      <c r="S8" s="392">
        <f>SUM(Model!BA104:BC104)</f>
        <v/>
      </c>
      <c r="T8" s="392">
        <f>SUM(Model!BD104:BF104)</f>
        <v/>
      </c>
      <c r="U8" s="392">
        <f>SUM(Model!BG104:BI104)</f>
        <v/>
      </c>
      <c r="V8" s="392">
        <f>SUM(Model!BJ104:BL104)</f>
        <v/>
      </c>
      <c r="W8" s="392">
        <f>SUM(Model!BM104:BO104)</f>
        <v/>
      </c>
      <c r="X8" s="392">
        <f>SUM(Model!BP104:BR104)</f>
        <v/>
      </c>
      <c r="Y8" s="392">
        <f>SUM(Model!BS104:BU104)</f>
        <v/>
      </c>
      <c r="Z8" s="392">
        <f>SUM(Model!BV104:BX104)</f>
        <v/>
      </c>
      <c r="AA8" s="392">
        <f>SUM(Model!BY104:CA104)</f>
        <v/>
      </c>
      <c r="AB8" s="392">
        <f>SUM(Model!CB104:CD104)</f>
        <v/>
      </c>
      <c r="AC8" s="392">
        <f>SUM(Model!CE104:CG104)</f>
        <v/>
      </c>
      <c r="AD8" s="392">
        <f>SUM(Model!CH104:CJ104)</f>
        <v/>
      </c>
      <c r="AE8" s="392">
        <f>SUM(Model!CK104:CM104)</f>
        <v/>
      </c>
      <c r="AF8" s="392">
        <f>SUM(Model!CN104:CP104)</f>
        <v/>
      </c>
      <c r="AG8" s="392">
        <f>SUM(Model!CQ104:CS104)</f>
        <v/>
      </c>
      <c r="AH8" s="392">
        <f>SUM(Model!CT104:CV104)</f>
        <v/>
      </c>
      <c r="AI8" s="392">
        <f>SUM(Model!CW104:CY104)</f>
        <v/>
      </c>
      <c r="AJ8" s="392">
        <f>SUM(Model!CZ104:DB104)</f>
        <v/>
      </c>
      <c r="AK8" s="392">
        <f>SUM(Model!DC104:DE104)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SUM(Model!B105:D105)</f>
        <v/>
      </c>
      <c r="C9" s="392">
        <f>SUM(Model!E105:G105)</f>
        <v/>
      </c>
      <c r="D9" s="392">
        <f>SUM(Model!H105:J105)</f>
        <v/>
      </c>
      <c r="E9" s="392">
        <f>SUM(Model!K105:M105)</f>
        <v/>
      </c>
      <c r="F9" s="392">
        <f>SUM(Model!N105:P105)</f>
        <v/>
      </c>
      <c r="G9" s="392">
        <f>SUM(Model!Q105:S105)</f>
        <v/>
      </c>
      <c r="H9" s="392">
        <f>SUM(Model!T105:V105)</f>
        <v/>
      </c>
      <c r="I9" s="392">
        <f>SUM(Model!W105:Y105)</f>
        <v/>
      </c>
      <c r="J9" s="392">
        <f>SUM(Model!Z105:AB105)</f>
        <v/>
      </c>
      <c r="K9" s="392">
        <f>SUM(Model!AC105:AE105)</f>
        <v/>
      </c>
      <c r="L9" s="392">
        <f>SUM(Model!AF105:AH105)</f>
        <v/>
      </c>
      <c r="M9" s="392">
        <f>SUM(Model!AI105:AK105)</f>
        <v/>
      </c>
      <c r="N9" s="392">
        <f>SUM(Model!AL105:AN105)</f>
        <v/>
      </c>
      <c r="O9" s="392">
        <f>SUM(Model!AO105:AQ105)</f>
        <v/>
      </c>
      <c r="P9" s="392">
        <f>SUM(Model!AR105:AT105)</f>
        <v/>
      </c>
      <c r="Q9" s="392">
        <f>SUM(Model!AU105:AW105)</f>
        <v/>
      </c>
      <c r="R9" s="392">
        <f>SUM(Model!AX105:AZ105)</f>
        <v/>
      </c>
      <c r="S9" s="392">
        <f>SUM(Model!BA105:BC105)</f>
        <v/>
      </c>
      <c r="T9" s="392">
        <f>SUM(Model!BD105:BF105)</f>
        <v/>
      </c>
      <c r="U9" s="392">
        <f>SUM(Model!BG105:BI105)</f>
        <v/>
      </c>
      <c r="V9" s="392">
        <f>SUM(Model!BJ105:BL105)</f>
        <v/>
      </c>
      <c r="W9" s="392">
        <f>SUM(Model!BM105:BO105)</f>
        <v/>
      </c>
      <c r="X9" s="392">
        <f>SUM(Model!BP105:BR105)</f>
        <v/>
      </c>
      <c r="Y9" s="392">
        <f>SUM(Model!BS105:BU105)</f>
        <v/>
      </c>
      <c r="Z9" s="392">
        <f>SUM(Model!BV105:BX105)</f>
        <v/>
      </c>
      <c r="AA9" s="392">
        <f>SUM(Model!BY105:CA105)</f>
        <v/>
      </c>
      <c r="AB9" s="392">
        <f>SUM(Model!CB105:CD105)</f>
        <v/>
      </c>
      <c r="AC9" s="392">
        <f>SUM(Model!CE105:CG105)</f>
        <v/>
      </c>
      <c r="AD9" s="392">
        <f>SUM(Model!CH105:CJ105)</f>
        <v/>
      </c>
      <c r="AE9" s="392">
        <f>SUM(Model!CK105:CM105)</f>
        <v/>
      </c>
      <c r="AF9" s="392">
        <f>SUM(Model!CN105:CP105)</f>
        <v/>
      </c>
      <c r="AG9" s="392">
        <f>SUM(Model!CQ105:CS105)</f>
        <v/>
      </c>
      <c r="AH9" s="392">
        <f>SUM(Model!CT105:CV105)</f>
        <v/>
      </c>
      <c r="AI9" s="392">
        <f>SUM(Model!CW105:CY105)</f>
        <v/>
      </c>
      <c r="AJ9" s="392">
        <f>SUM(Model!CZ105:DB105)</f>
        <v/>
      </c>
      <c r="AK9" s="392">
        <f>SUM(Model!DC105:DE105)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SUM(Model!B106:D106)</f>
        <v/>
      </c>
      <c r="C10" s="392">
        <f>SUM(Model!E106:G106)</f>
        <v/>
      </c>
      <c r="D10" s="392">
        <f>SUM(Model!H106:J106)</f>
        <v/>
      </c>
      <c r="E10" s="392">
        <f>SUM(Model!K106:M106)</f>
        <v/>
      </c>
      <c r="F10" s="392">
        <f>SUM(Model!N106:P106)</f>
        <v/>
      </c>
      <c r="G10" s="392">
        <f>SUM(Model!Q106:S106)</f>
        <v/>
      </c>
      <c r="H10" s="392">
        <f>SUM(Model!T106:V106)</f>
        <v/>
      </c>
      <c r="I10" s="392">
        <f>SUM(Model!W106:Y106)</f>
        <v/>
      </c>
      <c r="J10" s="392">
        <f>SUM(Model!Z106:AB106)</f>
        <v/>
      </c>
      <c r="K10" s="392">
        <f>SUM(Model!AC106:AE106)</f>
        <v/>
      </c>
      <c r="L10" s="392">
        <f>SUM(Model!AF106:AH106)</f>
        <v/>
      </c>
      <c r="M10" s="392">
        <f>SUM(Model!AI106:AK106)</f>
        <v/>
      </c>
      <c r="N10" s="392">
        <f>SUM(Model!AL106:AN106)</f>
        <v/>
      </c>
      <c r="O10" s="392">
        <f>SUM(Model!AO106:AQ106)</f>
        <v/>
      </c>
      <c r="P10" s="392">
        <f>SUM(Model!AR106:AT106)</f>
        <v/>
      </c>
      <c r="Q10" s="392">
        <f>SUM(Model!AU106:AW106)</f>
        <v/>
      </c>
      <c r="R10" s="392">
        <f>SUM(Model!AX106:AZ106)</f>
        <v/>
      </c>
      <c r="S10" s="392">
        <f>SUM(Model!BA106:BC106)</f>
        <v/>
      </c>
      <c r="T10" s="392">
        <f>SUM(Model!BD106:BF106)</f>
        <v/>
      </c>
      <c r="U10" s="392">
        <f>SUM(Model!BG106:BI106)</f>
        <v/>
      </c>
      <c r="V10" s="392">
        <f>SUM(Model!BJ106:BL106)</f>
        <v/>
      </c>
      <c r="W10" s="392">
        <f>SUM(Model!BM106:BO106)</f>
        <v/>
      </c>
      <c r="X10" s="392">
        <f>SUM(Model!BP106:BR106)</f>
        <v/>
      </c>
      <c r="Y10" s="392">
        <f>SUM(Model!BS106:BU106)</f>
        <v/>
      </c>
      <c r="Z10" s="392">
        <f>SUM(Model!BV106:BX106)</f>
        <v/>
      </c>
      <c r="AA10" s="392">
        <f>SUM(Model!BY106:CA106)</f>
        <v/>
      </c>
      <c r="AB10" s="392">
        <f>SUM(Model!CB106:CD106)</f>
        <v/>
      </c>
      <c r="AC10" s="392">
        <f>SUM(Model!CE106:CG106)</f>
        <v/>
      </c>
      <c r="AD10" s="392">
        <f>SUM(Model!CH106:CJ106)</f>
        <v/>
      </c>
      <c r="AE10" s="392">
        <f>SUM(Model!CK106:CM106)</f>
        <v/>
      </c>
      <c r="AF10" s="392">
        <f>SUM(Model!CN106:CP106)</f>
        <v/>
      </c>
      <c r="AG10" s="392">
        <f>SUM(Model!CQ106:CS106)</f>
        <v/>
      </c>
      <c r="AH10" s="392">
        <f>SUM(Model!CT106:CV106)</f>
        <v/>
      </c>
      <c r="AI10" s="392">
        <f>SUM(Model!CW106:CY106)</f>
        <v/>
      </c>
      <c r="AJ10" s="392">
        <f>SUM(Model!CZ106:DB106)</f>
        <v/>
      </c>
      <c r="AK10" s="392">
        <f>SUM(Model!DC106:DE106)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SUM(Model!B107:D107)</f>
        <v/>
      </c>
      <c r="C11" s="392">
        <f>SUM(Model!E107:G107)</f>
        <v/>
      </c>
      <c r="D11" s="392">
        <f>SUM(Model!H107:J107)</f>
        <v/>
      </c>
      <c r="E11" s="392">
        <f>SUM(Model!K107:M107)</f>
        <v/>
      </c>
      <c r="F11" s="392">
        <f>SUM(Model!N107:P107)</f>
        <v/>
      </c>
      <c r="G11" s="392">
        <f>SUM(Model!Q107:S107)</f>
        <v/>
      </c>
      <c r="H11" s="392">
        <f>SUM(Model!T107:V107)</f>
        <v/>
      </c>
      <c r="I11" s="392">
        <f>SUM(Model!W107:Y107)</f>
        <v/>
      </c>
      <c r="J11" s="392">
        <f>SUM(Model!Z107:AB107)</f>
        <v/>
      </c>
      <c r="K11" s="392">
        <f>SUM(Model!AC107:AE107)</f>
        <v/>
      </c>
      <c r="L11" s="392">
        <f>SUM(Model!AF107:AH107)</f>
        <v/>
      </c>
      <c r="M11" s="392">
        <f>SUM(Model!AI107:AK107)</f>
        <v/>
      </c>
      <c r="N11" s="392">
        <f>SUM(Model!AL107:AN107)</f>
        <v/>
      </c>
      <c r="O11" s="392">
        <f>SUM(Model!AO107:AQ107)</f>
        <v/>
      </c>
      <c r="P11" s="392">
        <f>SUM(Model!AR107:AT107)</f>
        <v/>
      </c>
      <c r="Q11" s="392">
        <f>SUM(Model!AU107:AW107)</f>
        <v/>
      </c>
      <c r="R11" s="392">
        <f>SUM(Model!AX107:AZ107)</f>
        <v/>
      </c>
      <c r="S11" s="392">
        <f>SUM(Model!BA107:BC107)</f>
        <v/>
      </c>
      <c r="T11" s="392">
        <f>SUM(Model!BD107:BF107)</f>
        <v/>
      </c>
      <c r="U11" s="392">
        <f>SUM(Model!BG107:BI107)</f>
        <v/>
      </c>
      <c r="V11" s="392">
        <f>SUM(Model!BJ107:BL107)</f>
        <v/>
      </c>
      <c r="W11" s="392">
        <f>SUM(Model!BM107:BO107)</f>
        <v/>
      </c>
      <c r="X11" s="392">
        <f>SUM(Model!BP107:BR107)</f>
        <v/>
      </c>
      <c r="Y11" s="392">
        <f>SUM(Model!BS107:BU107)</f>
        <v/>
      </c>
      <c r="Z11" s="392">
        <f>SUM(Model!BV107:BX107)</f>
        <v/>
      </c>
      <c r="AA11" s="392">
        <f>SUM(Model!BY107:CA107)</f>
        <v/>
      </c>
      <c r="AB11" s="392">
        <f>SUM(Model!CB107:CD107)</f>
        <v/>
      </c>
      <c r="AC11" s="392">
        <f>SUM(Model!CE107:CG107)</f>
        <v/>
      </c>
      <c r="AD11" s="392">
        <f>SUM(Model!CH107:CJ107)</f>
        <v/>
      </c>
      <c r="AE11" s="392">
        <f>SUM(Model!CK107:CM107)</f>
        <v/>
      </c>
      <c r="AF11" s="392">
        <f>SUM(Model!CN107:CP107)</f>
        <v/>
      </c>
      <c r="AG11" s="392">
        <f>SUM(Model!CQ107:CS107)</f>
        <v/>
      </c>
      <c r="AH11" s="392">
        <f>SUM(Model!CT107:CV107)</f>
        <v/>
      </c>
      <c r="AI11" s="392">
        <f>SUM(Model!CW107:CY107)</f>
        <v/>
      </c>
      <c r="AJ11" s="392">
        <f>SUM(Model!CZ107:DB107)</f>
        <v/>
      </c>
      <c r="AK11" s="392">
        <f>SUM(Model!DC107:DE107)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SUM(Model!B108:D108)</f>
        <v/>
      </c>
      <c r="C12" s="392">
        <f>SUM(Model!E108:G108)</f>
        <v/>
      </c>
      <c r="D12" s="392">
        <f>SUM(Model!H108:J108)</f>
        <v/>
      </c>
      <c r="E12" s="392">
        <f>SUM(Model!K108:M108)</f>
        <v/>
      </c>
      <c r="F12" s="392">
        <f>SUM(Model!N108:P108)</f>
        <v/>
      </c>
      <c r="G12" s="392">
        <f>SUM(Model!Q108:S108)</f>
        <v/>
      </c>
      <c r="H12" s="392">
        <f>SUM(Model!T108:V108)</f>
        <v/>
      </c>
      <c r="I12" s="392">
        <f>SUM(Model!W108:Y108)</f>
        <v/>
      </c>
      <c r="J12" s="392">
        <f>SUM(Model!Z108:AB108)</f>
        <v/>
      </c>
      <c r="K12" s="392">
        <f>SUM(Model!AC108:AE108)</f>
        <v/>
      </c>
      <c r="L12" s="392">
        <f>SUM(Model!AF108:AH108)</f>
        <v/>
      </c>
      <c r="M12" s="392">
        <f>SUM(Model!AI108:AK108)</f>
        <v/>
      </c>
      <c r="N12" s="392">
        <f>SUM(Model!AL108:AN108)</f>
        <v/>
      </c>
      <c r="O12" s="392">
        <f>SUM(Model!AO108:AQ108)</f>
        <v/>
      </c>
      <c r="P12" s="392">
        <f>SUM(Model!AR108:AT108)</f>
        <v/>
      </c>
      <c r="Q12" s="392">
        <f>SUM(Model!AU108:AW108)</f>
        <v/>
      </c>
      <c r="R12" s="392">
        <f>SUM(Model!AX108:AZ108)</f>
        <v/>
      </c>
      <c r="S12" s="392">
        <f>SUM(Model!BA108:BC108)</f>
        <v/>
      </c>
      <c r="T12" s="392">
        <f>SUM(Model!BD108:BF108)</f>
        <v/>
      </c>
      <c r="U12" s="392">
        <f>SUM(Model!BG108:BI108)</f>
        <v/>
      </c>
      <c r="V12" s="392">
        <f>SUM(Model!BJ108:BL108)</f>
        <v/>
      </c>
      <c r="W12" s="392">
        <f>SUM(Model!BM108:BO108)</f>
        <v/>
      </c>
      <c r="X12" s="392">
        <f>SUM(Model!BP108:BR108)</f>
        <v/>
      </c>
      <c r="Y12" s="392">
        <f>SUM(Model!BS108:BU108)</f>
        <v/>
      </c>
      <c r="Z12" s="392">
        <f>SUM(Model!BV108:BX108)</f>
        <v/>
      </c>
      <c r="AA12" s="392">
        <f>SUM(Model!BY108:CA108)</f>
        <v/>
      </c>
      <c r="AB12" s="392">
        <f>SUM(Model!CB108:CD108)</f>
        <v/>
      </c>
      <c r="AC12" s="392">
        <f>SUM(Model!CE108:CG108)</f>
        <v/>
      </c>
      <c r="AD12" s="392">
        <f>SUM(Model!CH108:CJ108)</f>
        <v/>
      </c>
      <c r="AE12" s="392">
        <f>SUM(Model!CK108:CM108)</f>
        <v/>
      </c>
      <c r="AF12" s="392">
        <f>SUM(Model!CN108:CP108)</f>
        <v/>
      </c>
      <c r="AG12" s="392">
        <f>SUM(Model!CQ108:CS108)</f>
        <v/>
      </c>
      <c r="AH12" s="392">
        <f>SUM(Model!CT108:CV108)</f>
        <v/>
      </c>
      <c r="AI12" s="392">
        <f>SUM(Model!CW108:CY108)</f>
        <v/>
      </c>
      <c r="AJ12" s="392">
        <f>SUM(Model!CZ108:DB108)</f>
        <v/>
      </c>
      <c r="AK12" s="392">
        <f>SUM(Model!DC108:DE108)</f>
        <v/>
      </c>
    </row>
    <row r="13" ht="15" customFormat="1" customHeight="1" s="380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7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Format="1" customHeight="1" s="380">
      <c r="A16" s="402" t="inlineStr">
        <is>
          <t>GC Costs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</row>
    <row r="17" ht="15" customFormat="1" customHeight="1" s="380">
      <c r="A17" s="397" t="inlineStr">
        <is>
          <t xml:space="preserve">  GC Personnel</t>
        </is>
      </c>
      <c r="B17" s="392">
        <f>SUM(Model!B113:D114)+SUM(Model!B116:D120)</f>
        <v/>
      </c>
      <c r="C17" s="392">
        <f>SUM(Model!E113:G114)+SUM(Model!E116:G120)</f>
        <v/>
      </c>
      <c r="D17" s="392">
        <f>SUM(Model!H113:J114)+SUM(Model!H116:J120)</f>
        <v/>
      </c>
      <c r="E17" s="392">
        <f>SUM(Model!K113:M114)+SUM(Model!K116:M120)</f>
        <v/>
      </c>
      <c r="F17" s="392">
        <f>SUM(Model!N113:P114)+SUM(Model!N116:P120)</f>
        <v/>
      </c>
      <c r="G17" s="392">
        <f>SUM(Model!Q113:S114)+SUM(Model!Q116:S120)</f>
        <v/>
      </c>
      <c r="H17" s="392">
        <f>SUM(Model!T113:V114)+SUM(Model!T116:V120)</f>
        <v/>
      </c>
      <c r="I17" s="392">
        <f>SUM(Model!W113:Y114)+SUM(Model!W116:Y120)</f>
        <v/>
      </c>
      <c r="J17" s="392">
        <f>SUM(Model!Z113:AB114)+SUM(Model!Z116:AB120)</f>
        <v/>
      </c>
      <c r="K17" s="392">
        <f>SUM(Model!AC113:AE114)+SUM(Model!AC116:AE120)</f>
        <v/>
      </c>
      <c r="L17" s="392">
        <f>SUM(Model!AF113:AH114)+SUM(Model!AF116:AH120)</f>
        <v/>
      </c>
      <c r="M17" s="392">
        <f>SUM(Model!AI113:AK114)+SUM(Model!AI116:AK120)</f>
        <v/>
      </c>
      <c r="N17" s="392">
        <f>SUM(Model!AL113:AN114)+SUM(Model!AL116:AN120)</f>
        <v/>
      </c>
      <c r="O17" s="392">
        <f>SUM(Model!AO113:AQ114)+SUM(Model!AO116:AQ120)</f>
        <v/>
      </c>
      <c r="P17" s="392">
        <f>SUM(Model!AR113:AT114)+SUM(Model!AR116:AT120)</f>
        <v/>
      </c>
      <c r="Q17" s="392">
        <f>SUM(Model!AU113:AW114)+SUM(Model!AU116:AW120)</f>
        <v/>
      </c>
      <c r="R17" s="392">
        <f>SUM(Model!AX113:AZ114)+SUM(Model!AX116:AZ120)</f>
        <v/>
      </c>
      <c r="S17" s="392">
        <f>SUM(Model!BA113:BC114)+SUM(Model!BA116:BC120)</f>
        <v/>
      </c>
      <c r="T17" s="392">
        <f>SUM(Model!BD113:BF114)+SUM(Model!BD116:BF120)</f>
        <v/>
      </c>
      <c r="U17" s="392">
        <f>SUM(Model!BG113:BI114)+SUM(Model!BG116:BI120)</f>
        <v/>
      </c>
      <c r="V17" s="392">
        <f>SUM(Model!BJ113:BL114)+SUM(Model!BJ116:BL120)</f>
        <v/>
      </c>
      <c r="W17" s="392">
        <f>SUM(Model!BM113:BO114)+SUM(Model!BM116:BO120)</f>
        <v/>
      </c>
      <c r="X17" s="392">
        <f>SUM(Model!BP113:BR114)+SUM(Model!BP116:BR120)</f>
        <v/>
      </c>
      <c r="Y17" s="392">
        <f>SUM(Model!BS113:BU114)+SUM(Model!BS116:BU120)</f>
        <v/>
      </c>
      <c r="Z17" s="392">
        <f>SUM(Model!BV113:BX114)+SUM(Model!BV116:BX120)</f>
        <v/>
      </c>
      <c r="AA17" s="392">
        <f>SUM(Model!BY113:CA114)+SUM(Model!BY116:CA120)</f>
        <v/>
      </c>
      <c r="AB17" s="392">
        <f>SUM(Model!CB113:CD114)+SUM(Model!CB116:CD120)</f>
        <v/>
      </c>
      <c r="AC17" s="392">
        <f>SUM(Model!CE113:CG114)+SUM(Model!CE116:CG120)</f>
        <v/>
      </c>
      <c r="AD17" s="392">
        <f>SUM(Model!CH113:CJ114)+SUM(Model!CH116:CJ120)</f>
        <v/>
      </c>
      <c r="AE17" s="392">
        <f>SUM(Model!CK113:CM114)+SUM(Model!CK116:CM120)</f>
        <v/>
      </c>
      <c r="AF17" s="392">
        <f>SUM(Model!CN113:CP114)+SUM(Model!CN116:CP120)</f>
        <v/>
      </c>
      <c r="AG17" s="392">
        <f>SUM(Model!CQ113:CS114)+SUM(Model!CQ116:CS120)</f>
        <v/>
      </c>
      <c r="AH17" s="392">
        <f>SUM(Model!CT113:CV114)+SUM(Model!CT116:CV120)</f>
        <v/>
      </c>
      <c r="AI17" s="392">
        <f>SUM(Model!CW113:CY114)+SUM(Model!CW116:CY120)</f>
        <v/>
      </c>
      <c r="AJ17" s="392">
        <f>SUM(Model!CZ113:DB114)+SUM(Model!CZ116:DB120)</f>
        <v/>
      </c>
      <c r="AK17" s="392">
        <f>SUM(Model!DC113:DE114)+SUM(Model!DC116:DE120)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SUM(Model!B121:D143)+SUM(Model!B145:D145)</f>
        <v/>
      </c>
      <c r="C18" s="392">
        <f>SUM(Model!E121:G143)+SUM(Model!E145:G145)</f>
        <v/>
      </c>
      <c r="D18" s="392">
        <f>SUM(Model!H121:J143)+SUM(Model!H145:J145)</f>
        <v/>
      </c>
      <c r="E18" s="392">
        <f>SUM(Model!K121:M143)+SUM(Model!K145:M145)</f>
        <v/>
      </c>
      <c r="F18" s="392">
        <f>SUM(Model!N121:P143)+SUM(Model!N145:P145)</f>
        <v/>
      </c>
      <c r="G18" s="392">
        <f>SUM(Model!Q121:S143)+SUM(Model!Q145:S145)</f>
        <v/>
      </c>
      <c r="H18" s="392">
        <f>SUM(Model!T121:V143)+SUM(Model!T145:V145)</f>
        <v/>
      </c>
      <c r="I18" s="392">
        <f>SUM(Model!W121:Y143)+SUM(Model!W145:Y145)</f>
        <v/>
      </c>
      <c r="J18" s="392">
        <f>SUM(Model!Z121:AB143)+SUM(Model!Z145:AB145)</f>
        <v/>
      </c>
      <c r="K18" s="392">
        <f>SUM(Model!AC121:AE143)+SUM(Model!AC145:AE145)</f>
        <v/>
      </c>
      <c r="L18" s="392">
        <f>SUM(Model!AF121:AH143)+SUM(Model!AF145:AH145)</f>
        <v/>
      </c>
      <c r="M18" s="392">
        <f>SUM(Model!AI121:AK143)+SUM(Model!AI145:AK145)</f>
        <v/>
      </c>
      <c r="N18" s="392">
        <f>SUM(Model!AL121:AN143)+SUM(Model!AL145:AN145)</f>
        <v/>
      </c>
      <c r="O18" s="392">
        <f>SUM(Model!AO121:AQ143)+SUM(Model!AO145:AQ145)</f>
        <v/>
      </c>
      <c r="P18" s="392">
        <f>SUM(Model!AR121:AT143)+SUM(Model!AR145:AT145)</f>
        <v/>
      </c>
      <c r="Q18" s="392">
        <f>SUM(Model!AU121:AW143)+SUM(Model!AU145:AW145)</f>
        <v/>
      </c>
      <c r="R18" s="392">
        <f>SUM(Model!AX121:AZ143)+SUM(Model!AX145:AZ145)</f>
        <v/>
      </c>
      <c r="S18" s="392">
        <f>SUM(Model!BA121:BC143)+SUM(Model!BA145:BC145)</f>
        <v/>
      </c>
      <c r="T18" s="392">
        <f>SUM(Model!BD121:BF143)+SUM(Model!BD145:BF145)</f>
        <v/>
      </c>
      <c r="U18" s="392">
        <f>SUM(Model!BG121:BI143)+SUM(Model!BG145:BI145)</f>
        <v/>
      </c>
      <c r="V18" s="392">
        <f>SUM(Model!BJ121:BL143)+SUM(Model!BJ145:BL145)</f>
        <v/>
      </c>
      <c r="W18" s="392">
        <f>SUM(Model!BM121:BO143)+SUM(Model!BM145:BO145)</f>
        <v/>
      </c>
      <c r="X18" s="392">
        <f>SUM(Model!BP121:BR143)+SUM(Model!BP145:BR145)</f>
        <v/>
      </c>
      <c r="Y18" s="392">
        <f>SUM(Model!BS121:BU143)+SUM(Model!BS145:BU145)</f>
        <v/>
      </c>
      <c r="Z18" s="392">
        <f>SUM(Model!BV121:BX143)+SUM(Model!BV145:BX145)</f>
        <v/>
      </c>
      <c r="AA18" s="392">
        <f>SUM(Model!BY121:CA143)+SUM(Model!BY145:CA145)</f>
        <v/>
      </c>
      <c r="AB18" s="392">
        <f>SUM(Model!CB121:CD143)+SUM(Model!CB145:CD145)</f>
        <v/>
      </c>
      <c r="AC18" s="392">
        <f>SUM(Model!CE121:CG143)+SUM(Model!CE145:CG145)</f>
        <v/>
      </c>
      <c r="AD18" s="392">
        <f>SUM(Model!CH121:CJ143)+SUM(Model!CH145:CJ145)</f>
        <v/>
      </c>
      <c r="AE18" s="392">
        <f>SUM(Model!CK121:CM143)+SUM(Model!CK145:CM145)</f>
        <v/>
      </c>
      <c r="AF18" s="392">
        <f>SUM(Model!CN121:CP143)+SUM(Model!CN145:CP145)</f>
        <v/>
      </c>
      <c r="AG18" s="392">
        <f>SUM(Model!CQ121:CS143)+SUM(Model!CQ145:CS145)</f>
        <v/>
      </c>
      <c r="AH18" s="392">
        <f>SUM(Model!CT121:CV143)+SUM(Model!CT145:CV145)</f>
        <v/>
      </c>
      <c r="AI18" s="392">
        <f>SUM(Model!CW121:CY143)+SUM(Model!CW145:CY145)</f>
        <v/>
      </c>
      <c r="AJ18" s="392">
        <f>SUM(Model!CZ121:DB143)+SUM(Model!CZ145:DB145)</f>
        <v/>
      </c>
      <c r="AK18" s="392">
        <f>SUM(Model!DC121:DE143)+SUM(Model!DC145:DE145)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SUM(Model!B115:D115)</f>
        <v/>
      </c>
      <c r="C19" s="392">
        <f>SUM(Model!E115:G115)</f>
        <v/>
      </c>
      <c r="D19" s="392">
        <f>SUM(Model!H115:J115)</f>
        <v/>
      </c>
      <c r="E19" s="392">
        <f>SUM(Model!K115:M115)</f>
        <v/>
      </c>
      <c r="F19" s="392">
        <f>SUM(Model!N115:P115)</f>
        <v/>
      </c>
      <c r="G19" s="392">
        <f>SUM(Model!Q115:S115)</f>
        <v/>
      </c>
      <c r="H19" s="392">
        <f>SUM(Model!T115:V115)</f>
        <v/>
      </c>
      <c r="I19" s="392">
        <f>SUM(Model!W115:Y115)</f>
        <v/>
      </c>
      <c r="J19" s="392">
        <f>SUM(Model!Z115:AB115)</f>
        <v/>
      </c>
      <c r="K19" s="392">
        <f>SUM(Model!AC115:AE115)</f>
        <v/>
      </c>
      <c r="L19" s="392">
        <f>SUM(Model!AF115:AH115)</f>
        <v/>
      </c>
      <c r="M19" s="392">
        <f>SUM(Model!AI115:AK115)</f>
        <v/>
      </c>
      <c r="N19" s="392">
        <f>SUM(Model!AL115:AN115)</f>
        <v/>
      </c>
      <c r="O19" s="392">
        <f>SUM(Model!AO115:AQ115)</f>
        <v/>
      </c>
      <c r="P19" s="392">
        <f>SUM(Model!AR115:AT115)</f>
        <v/>
      </c>
      <c r="Q19" s="392">
        <f>SUM(Model!AU115:AW115)</f>
        <v/>
      </c>
      <c r="R19" s="392">
        <f>SUM(Model!AX115:AZ115)</f>
        <v/>
      </c>
      <c r="S19" s="392">
        <f>SUM(Model!BA115:BC115)</f>
        <v/>
      </c>
      <c r="T19" s="392">
        <f>SUM(Model!BD115:BF115)</f>
        <v/>
      </c>
      <c r="U19" s="392">
        <f>SUM(Model!BG115:BI115)</f>
        <v/>
      </c>
      <c r="V19" s="392">
        <f>SUM(Model!BJ115:BL115)</f>
        <v/>
      </c>
      <c r="W19" s="392">
        <f>SUM(Model!BM115:BO115)</f>
        <v/>
      </c>
      <c r="X19" s="392">
        <f>SUM(Model!BP115:BR115)</f>
        <v/>
      </c>
      <c r="Y19" s="392">
        <f>SUM(Model!BS115:BU115)</f>
        <v/>
      </c>
      <c r="Z19" s="392">
        <f>SUM(Model!BV115:BX115)</f>
        <v/>
      </c>
      <c r="AA19" s="392">
        <f>SUM(Model!BY115:CA115)</f>
        <v/>
      </c>
      <c r="AB19" s="392">
        <f>SUM(Model!CB115:CD115)</f>
        <v/>
      </c>
      <c r="AC19" s="392">
        <f>SUM(Model!CE115:CG115)</f>
        <v/>
      </c>
      <c r="AD19" s="392">
        <f>SUM(Model!CH115:CJ115)</f>
        <v/>
      </c>
      <c r="AE19" s="392">
        <f>SUM(Model!CK115:CM115)</f>
        <v/>
      </c>
      <c r="AF19" s="392">
        <f>SUM(Model!CN115:CP115)</f>
        <v/>
      </c>
      <c r="AG19" s="392">
        <f>SUM(Model!CQ115:CS115)</f>
        <v/>
      </c>
      <c r="AH19" s="392">
        <f>SUM(Model!CT115:CV115)</f>
        <v/>
      </c>
      <c r="AI19" s="392">
        <f>SUM(Model!CW115:CY115)</f>
        <v/>
      </c>
      <c r="AJ19" s="392">
        <f>SUM(Model!CZ115:DB115)</f>
        <v/>
      </c>
      <c r="AK19" s="392">
        <f>SUM(Model!DC115:DE115)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SUM(Model!B144:D144)</f>
        <v/>
      </c>
      <c r="C20" s="392">
        <f>SUM(Model!E144:G144)</f>
        <v/>
      </c>
      <c r="D20" s="392">
        <f>SUM(Model!H144:J144)</f>
        <v/>
      </c>
      <c r="E20" s="392">
        <f>SUM(Model!K144:M144)</f>
        <v/>
      </c>
      <c r="F20" s="392">
        <f>SUM(Model!N144:P144)</f>
        <v/>
      </c>
      <c r="G20" s="392">
        <f>SUM(Model!Q144:S144)</f>
        <v/>
      </c>
      <c r="H20" s="392">
        <f>SUM(Model!T144:V144)</f>
        <v/>
      </c>
      <c r="I20" s="392">
        <f>SUM(Model!W144:Y144)</f>
        <v/>
      </c>
      <c r="J20" s="392">
        <f>SUM(Model!Z144:AB144)</f>
        <v/>
      </c>
      <c r="K20" s="392">
        <f>SUM(Model!AC144:AE144)</f>
        <v/>
      </c>
      <c r="L20" s="392">
        <f>SUM(Model!AF144:AH144)</f>
        <v/>
      </c>
      <c r="M20" s="392">
        <f>SUM(Model!AI144:AK144)</f>
        <v/>
      </c>
      <c r="N20" s="392">
        <f>SUM(Model!AL144:AN144)</f>
        <v/>
      </c>
      <c r="O20" s="392">
        <f>SUM(Model!AO144:AQ144)</f>
        <v/>
      </c>
      <c r="P20" s="392">
        <f>SUM(Model!AR144:AT144)</f>
        <v/>
      </c>
      <c r="Q20" s="392">
        <f>SUM(Model!AU144:AW144)</f>
        <v/>
      </c>
      <c r="R20" s="392">
        <f>SUM(Model!AX144:AZ144)</f>
        <v/>
      </c>
      <c r="S20" s="392">
        <f>SUM(Model!BA144:BC144)</f>
        <v/>
      </c>
      <c r="T20" s="392">
        <f>SUM(Model!BD144:BF144)</f>
        <v/>
      </c>
      <c r="U20" s="392">
        <f>SUM(Model!BG144:BI144)</f>
        <v/>
      </c>
      <c r="V20" s="392">
        <f>SUM(Model!BJ144:BL144)</f>
        <v/>
      </c>
      <c r="W20" s="392">
        <f>SUM(Model!BM144:BO144)</f>
        <v/>
      </c>
      <c r="X20" s="392">
        <f>SUM(Model!BP144:BR144)</f>
        <v/>
      </c>
      <c r="Y20" s="392">
        <f>SUM(Model!BS144:BU144)</f>
        <v/>
      </c>
      <c r="Z20" s="392">
        <f>SUM(Model!BV144:BX144)</f>
        <v/>
      </c>
      <c r="AA20" s="392">
        <f>SUM(Model!BY144:CA144)</f>
        <v/>
      </c>
      <c r="AB20" s="392">
        <f>SUM(Model!CB144:CD144)</f>
        <v/>
      </c>
      <c r="AC20" s="392">
        <f>SUM(Model!CE144:CG144)</f>
        <v/>
      </c>
      <c r="AD20" s="392">
        <f>SUM(Model!CH144:CJ144)</f>
        <v/>
      </c>
      <c r="AE20" s="392">
        <f>SUM(Model!CK144:CM144)</f>
        <v/>
      </c>
      <c r="AF20" s="392">
        <f>SUM(Model!CN144:CP144)</f>
        <v/>
      </c>
      <c r="AG20" s="392">
        <f>SUM(Model!CQ144:CS144)</f>
        <v/>
      </c>
      <c r="AH20" s="392">
        <f>SUM(Model!CT144:CV144)</f>
        <v/>
      </c>
      <c r="AI20" s="392">
        <f>SUM(Model!CW144:CY144)</f>
        <v/>
      </c>
      <c r="AJ20" s="392">
        <f>SUM(Model!CZ144:DB144)</f>
        <v/>
      </c>
      <c r="AK20" s="392">
        <f>SUM(Model!DC144:DE144)</f>
        <v/>
      </c>
    </row>
    <row r="21" ht="15" customFormat="1" customHeight="1" s="380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Format="1" customHeight="1" s="380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Format="1" customHeight="1" s="380">
      <c r="A23" s="397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Format="1" customHeight="1" s="380">
      <c r="A25" s="420" t="inlineStr">
        <is>
          <t>Six Peak Revenue</t>
        </is>
      </c>
      <c r="B25" s="392">
        <f>Model!B171+Model!C171+Model!D171</f>
        <v/>
      </c>
      <c r="C25" s="392">
        <f>Model!E171+Model!F171+Model!G171</f>
        <v/>
      </c>
      <c r="D25" s="392">
        <f>Model!H171+Model!I171+Model!J171</f>
        <v/>
      </c>
      <c r="E25" s="392">
        <f>Model!K171+Model!L171+Model!M171</f>
        <v/>
      </c>
      <c r="F25" s="392">
        <f>Model!N171+Model!O171+Model!P171</f>
        <v/>
      </c>
      <c r="G25" s="392">
        <f>Model!Q171+Model!R171+Model!S171</f>
        <v/>
      </c>
      <c r="H25" s="392">
        <f>Model!T171+Model!U171+Model!V171</f>
        <v/>
      </c>
      <c r="I25" s="392">
        <f>Model!W171+Model!X171+Model!Y171</f>
        <v/>
      </c>
      <c r="J25" s="392">
        <f>Model!Z171+Model!AA171+Model!AB171</f>
        <v/>
      </c>
      <c r="K25" s="392">
        <f>Model!AC171+Model!AD171+Model!AE171</f>
        <v/>
      </c>
      <c r="L25" s="392">
        <f>Model!AF171+Model!AG171+Model!AH171</f>
        <v/>
      </c>
      <c r="M25" s="392">
        <f>Model!AI171+Model!AJ171+Model!AK171</f>
        <v/>
      </c>
      <c r="N25" s="392">
        <f>Model!AL171+Model!AM171+Model!AN171</f>
        <v/>
      </c>
      <c r="O25" s="392">
        <f>Model!AO171+Model!AP171+Model!AQ171</f>
        <v/>
      </c>
      <c r="P25" s="392">
        <f>Model!AR171+Model!AS171+Model!AT171</f>
        <v/>
      </c>
      <c r="Q25" s="392">
        <f>Model!AU171+Model!AV171+Model!AW171</f>
        <v/>
      </c>
      <c r="R25" s="392">
        <f>Model!AX171+Model!AY171+Model!AZ171</f>
        <v/>
      </c>
      <c r="S25" s="392">
        <f>Model!BA171+Model!BB171+Model!BC171</f>
        <v/>
      </c>
      <c r="T25" s="392">
        <f>Model!BD171+Model!BE171+Model!BF171</f>
        <v/>
      </c>
      <c r="U25" s="392">
        <f>Model!BG171+Model!BH171+Model!BI171</f>
        <v/>
      </c>
      <c r="V25" s="392">
        <f>Model!BJ171+Model!BK171+Model!BL171</f>
        <v/>
      </c>
      <c r="W25" s="392">
        <f>Model!BM171+Model!BN171+Model!BO171</f>
        <v/>
      </c>
      <c r="X25" s="392">
        <f>Model!BP171+Model!BQ171+Model!BR171</f>
        <v/>
      </c>
      <c r="Y25" s="392">
        <f>Model!BS171+Model!BT171+Model!BU171</f>
        <v/>
      </c>
      <c r="Z25" s="392">
        <f>Model!BV171+Model!BW171+Model!BX171</f>
        <v/>
      </c>
      <c r="AA25" s="392">
        <f>Model!BY171+Model!BZ171+Model!CA171</f>
        <v/>
      </c>
      <c r="AB25" s="392">
        <f>Model!CB171+Model!CC171+Model!CD171</f>
        <v/>
      </c>
      <c r="AC25" s="392">
        <f>Model!CE171+Model!CF171+Model!CG171</f>
        <v/>
      </c>
      <c r="AD25" s="392">
        <f>Model!CH171+Model!CI171+Model!CJ171</f>
        <v/>
      </c>
      <c r="AE25" s="392">
        <f>Model!CK171+Model!CL171+Model!CM171</f>
        <v/>
      </c>
      <c r="AF25" s="392">
        <f>Model!CN171+Model!CO171+Model!CP171</f>
        <v/>
      </c>
      <c r="AG25" s="392">
        <f>Model!CQ171+Model!CR171+Model!CS171</f>
        <v/>
      </c>
      <c r="AH25" s="392">
        <f>Model!CT171+Model!CU171+Model!CV171</f>
        <v/>
      </c>
      <c r="AI25" s="392">
        <f>Model!CW171+Model!CX171+Model!CY171</f>
        <v/>
      </c>
      <c r="AJ25" s="392">
        <f>Model!CZ171+Model!DA171+Model!DB171</f>
        <v/>
      </c>
      <c r="AK25" s="392">
        <f>Model!DC171+Model!DD171+Model!DE171</f>
        <v/>
      </c>
    </row>
    <row r="26" ht="15" customFormat="1" customHeight="1" s="380">
      <c r="A26" s="397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Format="1" customHeight="1" s="380">
      <c r="A28" s="382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Format="1" customHeight="1" s="380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Format="1" customHeight="1" s="380">
      <c r="A30" s="382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Format="1" customHeight="1" s="380">
      <c r="A31" s="402" t="inlineStr">
        <is>
          <t>Steyn Group Fees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</row>
    <row r="32" ht="15" customFormat="1" customHeight="1" s="380">
      <c r="A32" s="397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</row>
    <row r="38" ht="15" customFormat="1" customHeight="1" s="380">
      <c r="A38" s="402" t="inlineStr">
        <is>
          <t>Debt Facilities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</row>
    <row r="39" ht="15" customFormat="1" customHeight="1" s="380">
      <c r="A39" s="397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Format="1" customHeight="1" s="380">
      <c r="A45" s="382" t="n"/>
      <c r="B45" s="382" t="n"/>
      <c r="C45" s="382" t="n"/>
      <c r="D45" s="382" t="n"/>
      <c r="E45" s="382" t="n"/>
      <c r="F45" s="382" t="n"/>
      <c r="G45" s="382" t="n"/>
      <c r="H45" s="382" t="n"/>
      <c r="I45" s="382" t="n"/>
      <c r="J45" s="382" t="n"/>
      <c r="K45" s="382" t="n"/>
      <c r="L45" s="382" t="n"/>
      <c r="M45" s="382" t="n"/>
      <c r="N45" s="382" t="n"/>
      <c r="O45" s="382" t="n"/>
      <c r="P45" s="382" t="n"/>
      <c r="Q45" s="382" t="n"/>
      <c r="R45" s="382" t="n"/>
      <c r="S45" s="382" t="n"/>
      <c r="T45" s="382" t="n"/>
      <c r="U45" s="382" t="n"/>
      <c r="V45" s="382" t="n"/>
      <c r="W45" s="382" t="n"/>
      <c r="X45" s="382" t="n"/>
      <c r="Y45" s="382" t="n"/>
      <c r="Z45" s="382" t="n"/>
      <c r="AA45" s="382" t="n"/>
      <c r="AB45" s="382" t="n"/>
      <c r="AC45" s="382" t="n"/>
      <c r="AD45" s="382" t="n"/>
      <c r="AE45" s="382" t="n"/>
      <c r="AF45" s="382" t="n"/>
      <c r="AG45" s="382" t="n"/>
      <c r="AH45" s="382" t="n"/>
      <c r="AI45" s="382" t="n"/>
      <c r="AJ45" s="382" t="n"/>
      <c r="AK45" s="382" t="n"/>
    </row>
    <row r="46" ht="15" customFormat="1" customHeight="1" s="380">
      <c r="A46" s="397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</row>
    <row r="48" ht="15" customFormat="1" customHeight="1" s="380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99"/>
  </cols>
  <sheetData>
    <row r="1" ht="17.25" customFormat="1" customHeight="1" s="380">
      <c r="A1" s="473" t="inlineStr">
        <is>
          <t>ACTUALS — monthly input area</t>
        </is>
      </c>
    </row>
    <row r="2" ht="15" customFormat="1" customHeight="1" s="380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Format="1" customHeight="1" s="380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Format="1" customHeight="1" s="380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Format="1" customHeight="1" s="380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Format="1" customHeight="1" s="380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Format="1" customHeight="1" s="380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Format="1" customHeight="1" s="380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Format="1" customHeight="1" s="380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Format="1" customHeight="1" s="380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Format="1" customHeight="1" s="380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Format="1" customHeight="1" s="380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Format="1" customHeight="1" s="380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Format="1" customHeight="1" s="380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Format="1" customHeight="1" s="380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Format="1" customHeight="1" s="380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Format="1" customHeight="1" s="380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Format="1" customHeight="1" s="380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Format="1" customHeight="1" s="380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Format="1" customHeight="1" s="380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Format="1" customHeight="1" s="380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Format="1" customHeight="1" s="380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Format="1" customHeight="1" s="380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Format="1" customHeight="1" s="380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Format="1" customHeight="1" s="380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Format="1" customHeight="1" s="380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Format="1" customHeight="1" s="380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Format="1" customHeight="1" s="380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Format="1" customHeight="1" s="380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Format="1" customHeight="1" s="380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Format="1" customHeight="1" s="380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Format="1" customHeight="1" s="380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Format="1" customHeight="1" s="380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Format="1" customHeight="1" s="380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Format="1" customHeight="1" s="380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Format="1" customHeight="1" s="380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Format="1" customHeight="1" s="380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Format="1" customHeight="1" s="380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Format="1" customHeight="1" s="380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Format="1" customHeight="1" s="380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Format="1" customHeight="1" s="380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Format="1" customHeight="1" s="380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Format="1" customHeight="1" s="380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Format="1" customHeight="1" s="380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Format="1" customHeight="1" s="380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Format="1" customHeight="1" s="380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Format="1" customHeight="1" s="380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Format="1" customHeight="1" s="380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Format="1" customHeight="1" s="380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Format="1" customHeight="1" s="380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Format="1" customHeight="1" s="380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Format="1" customHeight="1" s="380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Format="1" customHeight="1" s="380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Format="1" customHeight="1" s="380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Format="1" customHeight="1" s="380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Format="1" customHeight="1" s="380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Format="1" customHeight="1" s="380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Format="1" customHeight="1" s="380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Format="1" customHeight="1" s="380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Format="1" customHeight="1" s="380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Format="1" customHeight="1" s="380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Format="1" customHeight="1" s="380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Format="1" customHeight="1" s="380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Format="1" customHeight="1" s="380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Format="1" customHeight="1" s="380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Format="1" customHeight="1" s="380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Format="1" customHeight="1" s="380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Format="1" customHeight="1" s="380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Format="1" customHeight="1" s="380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Format="1" customHeight="1" s="380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Format="1" customHeight="1" s="380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Format="1" customHeight="1" s="380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Format="1" customHeight="1" s="380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Format="1" customHeight="1" s="380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Format="1" customHeight="1" s="380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Format="1" customHeight="1" s="380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Format="1" customHeight="1" s="380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Format="1" customHeight="1" s="380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Format="1" customHeight="1" s="380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Format="1" customHeight="1" s="380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Format="1" customHeight="1" s="380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Format="1" customHeight="1" s="380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Format="1" customHeight="1" s="380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Format="1" customHeight="1" s="380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Format="1" customHeight="1" s="380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Format="1" customHeight="1" s="380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Format="1" customHeight="1" s="380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Format="1" customHeight="1" s="380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Format="1" customHeight="1" s="380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Format="1" customHeight="1" s="380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Format="1" customHeight="1" s="380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Format="1" customHeight="1" s="380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Format="1" customHeight="1" s="380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Format="1" customHeight="1" s="380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Format="1" customHeight="1" s="380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Format="1" customHeight="1" s="380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Format="1" customHeight="1" s="380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Format="1" customHeight="1" s="380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Format="1" customHeight="1" s="380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Format="1" customHeight="1" s="380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Format="1" customHeight="1" s="380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Format="1" customHeight="1" s="380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Format="1" customHeight="1" s="380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Format="1" customHeight="1" s="380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Format="1" customHeight="1" s="380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Format="1" customHeight="1" s="380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Format="1" customHeight="1" s="380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Format="1" customHeight="1" s="380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Format="1" customHeight="1" s="380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Format="1" customHeight="1" s="380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Format="1" customHeight="1" s="380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Format="1" customHeight="1" s="380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Budget vs Actual</t>
        </is>
      </c>
    </row>
    <row r="2" ht="15" customFormat="1" customHeight="1" s="380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BUDGET</t>
        </is>
      </c>
    </row>
    <row r="5" ht="15" customHeight="1" s="410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410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Reforecast vs Actual</t>
        </is>
      </c>
    </row>
    <row r="2" ht="15" customFormat="1" customHeight="1" s="380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Q1 REFORECAST</t>
        </is>
      </c>
    </row>
    <row r="5" ht="15" customHeight="1" s="410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410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Budget (Nov 2025)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Format="1" customHeight="1" s="38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Reforecast Q1 2026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Height="1" s="41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48" customWidth="1" style="380" min="1" max="1"/>
    <col width="13" customWidth="1" style="380" min="3" max="14"/>
  </cols>
  <sheetData>
    <row r="1" ht="15" customFormat="1" customHeight="1" s="380">
      <c r="A1" s="473" t="inlineStr">
        <is>
          <t>BUDGET — approved November 2025</t>
        </is>
      </c>
    </row>
    <row r="2" ht="15" customFormat="1" customHeight="1" s="380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Format="1" customHeight="1" s="380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Format="1" customHeight="1" s="380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Format="1" customHeight="1" s="380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Format="1" customHeight="1" s="380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Format="1" customHeight="1" s="380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Format="1" customHeight="1" s="380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Format="1" customHeight="1" s="380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Format="1" customHeight="1" s="380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Format="1" customHeight="1" s="380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Format="1" customHeight="1" s="380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Format="1" customHeight="1" s="380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Format="1" customHeight="1" s="380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Format="1" customHeight="1" s="380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Format="1" customHeight="1" s="380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Format="1" customHeight="1" s="380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Format="1" customHeight="1" s="380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Format="1" customHeight="1" s="380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Format="1" customHeight="1" s="380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Format="1" customHeight="1" s="380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Format="1" customHeight="1" s="380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Format="1" customHeight="1" s="380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Format="1" customHeight="1" s="380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Format="1" customHeight="1" s="380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Format="1" customHeight="1" s="380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Format="1" customHeight="1" s="380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Format="1" customHeight="1" s="380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Format="1" customHeight="1" s="380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Format="1" customHeight="1" s="380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Format="1" customHeight="1" s="380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Format="1" customHeight="1" s="380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Format="1" customHeight="1" s="380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Format="1" customHeight="1" s="380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Format="1" customHeight="1" s="380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Format="1" customHeight="1" s="380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Format="1" customHeight="1" s="380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Format="1" customHeight="1" s="380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Format="1" customHeight="1" s="380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Format="1" customHeight="1" s="380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Format="1" customHeight="1" s="380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Format="1" customHeight="1" s="380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Format="1" customHeight="1" s="380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Format="1" customHeight="1" s="380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Format="1" customHeight="1" s="380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Format="1" customHeight="1" s="380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Format="1" customHeight="1" s="380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Format="1" customHeight="1" s="380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Format="1" customHeight="1" s="380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Format="1" customHeight="1" s="380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Format="1" customHeight="1" s="380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Format="1" customHeight="1" s="380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Format="1" customHeight="1" s="380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Format="1" customHeight="1" s="380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Format="1" customHeight="1" s="380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Format="1" customHeight="1" s="380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Format="1" customHeight="1" s="380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Format="1" customHeight="1" s="380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Format="1" customHeight="1" s="380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Format="1" customHeight="1" s="380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Format="1" customHeight="1" s="380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Format="1" customHeight="1" s="380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Format="1" customHeight="1" s="380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Format="1" customHeight="1" s="380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Format="1" customHeight="1" s="380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Format="1" customHeight="1" s="380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Format="1" customHeight="1" s="380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Format="1" customHeight="1" s="380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Format="1" customHeight="1" s="380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Format="1" customHeight="1" s="380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Format="1" customHeight="1" s="380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Format="1" customHeight="1" s="380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Format="1" customHeight="1" s="380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Format="1" customHeight="1" s="380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Format="1" customHeight="1" s="380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Format="1" customHeight="1" s="380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Format="1" customHeight="1" s="380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Format="1" customHeight="1" s="380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Format="1" customHeight="1" s="380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Format="1" customHeight="1" s="380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Format="1" customHeight="1" s="380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Format="1" customHeight="1" s="380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Format="1" customHeight="1" s="380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Format="1" customHeight="1" s="380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Format="1" customHeight="1" s="380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Format="1" customHeight="1" s="380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Format="1" customHeight="1" s="380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Format="1" customHeight="1" s="380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Format="1" customHeight="1" s="380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Format="1" customHeight="1" s="380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Format="1" customHeight="1" s="380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Format="1" customHeight="1" s="380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Format="1" customHeight="1" s="380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Format="1" customHeight="1" s="380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Format="1" customHeight="1" s="380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Format="1" customHeight="1" s="380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Format="1" customHeight="1" s="380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Format="1" customHeight="1" s="380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Format="1" customHeight="1" s="380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Format="1" customHeight="1" s="380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Format="1" customHeight="1" s="380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Format="1" customHeight="1" s="380">
      <c r="A117" s="519" t="inlineStr">
        <is>
          <t>KNOWN VARIANCE FROM SOURCE — documented, not corrected</t>
        </is>
      </c>
    </row>
    <row r="118" ht="45.75" customFormat="1" customHeight="1" s="380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Format="1" customHeight="1" s="380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Format="1" customHeight="1" s="380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Format="1" customHeight="1" s="380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Format="1" customHeight="1" s="380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110"/>
  </cols>
  <sheetData>
    <row r="1" ht="17.25" customFormat="1" customHeight="1" s="380">
      <c r="A1" s="473" t="inlineStr">
        <is>
          <t>REFORECAST Q1 2026 — frozen v26 forecast snapshot</t>
        </is>
      </c>
    </row>
    <row r="2" ht="15" customFormat="1" customHeight="1" s="380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Format="1" customHeight="1" s="380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Format="1" customHeight="1" s="380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Format="1" customHeight="1" s="380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Format="1" customHeight="1" s="380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Format="1" customHeight="1" s="380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Format="1" customHeight="1" s="380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Format="1" customHeight="1" s="380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Format="1" customHeight="1" s="380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Format="1" customHeight="1" s="380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Format="1" customHeight="1" s="380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Format="1" customHeight="1" s="380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Format="1" customHeight="1" s="380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Format="1" customHeight="1" s="380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Format="1" customHeight="1" s="380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Format="1" customHeight="1" s="380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Format="1" customHeight="1" s="380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Format="1" customHeight="1" s="380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Format="1" customHeight="1" s="380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Format="1" customHeight="1" s="380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Format="1" customHeight="1" s="380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Format="1" customHeight="1" s="380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Format="1" customHeight="1" s="380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Format="1" customHeight="1" s="380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Format="1" customHeight="1" s="380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Format="1" customHeight="1" s="380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Format="1" customHeight="1" s="380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Format="1" customHeight="1" s="380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Format="1" customHeight="1" s="380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Format="1" customHeight="1" s="380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Format="1" customHeight="1" s="380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Format="1" customHeight="1" s="380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Format="1" customHeight="1" s="380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Format="1" customHeight="1" s="380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Format="1" customHeight="1" s="380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Format="1" customHeight="1" s="380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Format="1" customHeight="1" s="380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Format="1" customHeight="1" s="380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Format="1" customHeight="1" s="380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Format="1" customHeight="1" s="380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Format="1" customHeight="1" s="380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Format="1" customHeight="1" s="380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Format="1" customHeight="1" s="380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Format="1" customHeight="1" s="380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Format="1" customHeight="1" s="380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Format="1" customHeight="1" s="380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Format="1" customHeight="1" s="380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Format="1" customHeight="1" s="380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Format="1" customHeight="1" s="380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Format="1" customHeight="1" s="380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Format="1" customHeight="1" s="380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Format="1" customHeight="1" s="380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Format="1" customHeight="1" s="380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Format="1" customHeight="1" s="380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Format="1" customHeight="1" s="380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Format="1" customHeight="1" s="380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Format="1" customHeight="1" s="380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Format="1" customHeight="1" s="380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Format="1" customHeight="1" s="380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Format="1" customHeight="1" s="380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Format="1" customHeight="1" s="380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Format="1" customHeight="1" s="380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Format="1" customHeight="1" s="380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Format="1" customHeight="1" s="380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Format="1" customHeight="1" s="380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Format="1" customHeight="1" s="380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Format="1" customHeight="1" s="380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Format="1" customHeight="1" s="380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Format="1" customHeight="1" s="380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Format="1" customHeight="1" s="380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Format="1" customHeight="1" s="380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Format="1" customHeight="1" s="380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Format="1" customHeight="1" s="380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Format="1" customHeight="1" s="380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Format="1" customHeight="1" s="380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Format="1" customHeight="1" s="380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Format="1" customHeight="1" s="380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Format="1" customHeight="1" s="380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Format="1" customHeight="1" s="380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Format="1" customHeight="1" s="380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Format="1" customHeight="1" s="380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Format="1" customHeight="1" s="380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Format="1" customHeight="1" s="380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Format="1" customHeight="1" s="380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Format="1" customHeight="1" s="380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Format="1" customHeight="1" s="380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Format="1" customHeight="1" s="380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Format="1" customHeight="1" s="380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Format="1" customHeight="1" s="380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Format="1" customHeight="1" s="380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Format="1" customHeight="1" s="380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Format="1" customHeight="1" s="380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Format="1" customHeight="1" s="380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Format="1" customHeight="1" s="380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Format="1" customHeight="1" s="380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Format="1" customHeight="1" s="380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Format="1" customHeight="1" s="380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Format="1" customHeight="1" s="380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Format="1" customHeight="1" s="380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Format="1" customHeight="1" s="380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Format="1" customHeight="1" s="380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Format="1" customHeight="1" s="380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Format="1" customHeight="1" s="380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Format="1" customHeight="1" s="380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Format="1" customHeight="1" s="380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Format="1" customHeight="1" s="380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Format="1" customHeight="1" s="380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Format="1" customHeight="1" s="380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Format="1" customHeight="1" s="380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Format="1" customHeight="1" s="380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875" defaultRowHeight="1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Format="1" customHeight="1" s="380">
      <c r="A1" s="473" t="inlineStr">
        <is>
          <t>BD COMMISSION ANALYSIS</t>
        </is>
      </c>
    </row>
    <row r="2" ht="15" customFormat="1" customHeight="1" s="380">
      <c r="A2" s="452" t="inlineStr">
        <is>
          <t>Annual breakdown of BD-sourced billing, gross profit, commission, and Tom's total comp.</t>
        </is>
      </c>
    </row>
    <row r="4" ht="31.5" customFormat="1" customHeight="1" s="380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Format="1" customHeight="1" s="380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Format="1" customHeight="1" s="380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Format="1" customHeight="1" s="380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Format="1" customHeight="1" s="380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Format="1" customHeight="1" s="380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Format="1" customHeight="1" s="380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Format="1" customHeight="1" s="380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Format="1" customHeight="1" s="380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Format="1" customHeight="1" s="380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Format="1" customHeight="1" s="380">
      <c r="A15" s="473" t="inlineStr">
        <is>
          <t>Notes:</t>
        </is>
      </c>
    </row>
    <row r="16" ht="15" customFormat="1" customHeight="1" s="380">
      <c r="A16" s="452" t="inlineStr">
        <is>
          <t>• BD figures pull from Helpers BD memo (rows 96-101)</t>
        </is>
      </c>
    </row>
    <row r="17" ht="15" customFormat="1" customHeight="1" s="380">
      <c r="A17" s="452" t="inlineStr">
        <is>
          <t>• BD fees split: Other GC Income (Supervision+Admin) and GC Fee Income (GC-CM)</t>
        </is>
      </c>
    </row>
    <row r="18" ht="15" customFormat="1" customHeight="1" s="380">
      <c r="A18" s="452" t="inlineStr">
        <is>
          <t>• Commission floors at $0 each month (Model R51 formula)</t>
        </is>
      </c>
    </row>
    <row r="19" ht="15" customFormat="1" customHeight="1" s="380">
      <c r="A19" s="452" t="inlineStr">
        <is>
          <t>• Bonding revenue + costs excluded from BD math (Helpers r98/r99, unconditional since 14 Aug 2026)</t>
        </is>
      </c>
    </row>
    <row r="20" ht="15" customFormat="1" customHeight="1" s="380">
      <c r="A20" s="452" t="inlineStr">
        <is>
          <t>• Tom Base Salary FROZEN at Personnel!C46 ($222K) — no escalation (CY26 prorated to 9 mo)</t>
        </is>
      </c>
    </row>
    <row r="21" ht="15" customFormat="1" customHeight="1" s="380">
      <c r="A21" s="452" t="inlineStr">
        <is>
          <t>• HVN deals flagged on Projects column M (first 2 BD deals by start month per CY)</t>
        </is>
      </c>
    </row>
    <row r="22" ht="15" customFormat="1" customHeight="1" s="380">
      <c r="A22" s="452" t="inlineStr">
        <is>
          <t>• HVN/Non-HVN billings split via Model row 211 (HVN-only) vs row 200 (total)</t>
        </is>
      </c>
    </row>
    <row r="23" ht="15" customFormat="1" customHeight="1" s="380">
      <c r="A23" s="452" t="inlineStr">
        <is>
          <t>• HVN GP allocated proportionally: GP × (HVN billing / total billing)</t>
        </is>
      </c>
    </row>
    <row r="24" ht="15" customFormat="1" customHeight="1" s="380">
      <c r="A24" s="452" t="inlineStr">
        <is>
          <t>• HVN commission rate tiered annually by non-HVN billings — see Assumptions!A79</t>
        </is>
      </c>
    </row>
    <row r="25" ht="15" customFormat="1" customHeight="1" s="380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7" activeCellId="0" sqref="D7"/>
    </sheetView>
  </sheetViews>
  <sheetFormatPr baseColWidth="8" defaultColWidth="8.71875" defaultRowHeight="1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410" min="23" max="23"/>
  </cols>
  <sheetData>
    <row r="1" ht="27.75" customFormat="1" customHeight="1" s="380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Format="1" customHeight="1" s="380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Format="1" customHeight="1" s="380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Format="1" customHeight="1" s="380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Format="1" customHeight="1" s="380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Format="1" customHeight="1" s="380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Format="1" customHeight="1" s="380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Format="1" customHeight="1" s="380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Format="1" customHeight="1" s="380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Format="1" customHeight="1" s="380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Format="1" customHeight="1" s="380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Format="1" customHeight="1" s="380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Format="1" customHeight="1" s="380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Format="1" customHeight="1" s="380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Format="1" customHeight="1" s="380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Format="1" customHeight="1" s="380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Format="1" customHeight="1" s="380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Format="1" customHeight="1" s="380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Format="1" customHeight="1" s="380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Format="1" customHeight="1" s="380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Format="1" customHeight="1" s="380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Format="1" customHeight="1" s="380">
      <c r="A22" s="550" t="inlineStr">
        <is>
          <t>BD-06</t>
        </is>
      </c>
      <c r="B22" s="551" t="n">
        <v>15000000</v>
      </c>
      <c r="C22" s="552" t="n">
        <v>31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Yes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Format="1" customHeight="1" s="380">
      <c r="A23" s="550" t="inlineStr">
        <is>
          <t>BD-07</t>
        </is>
      </c>
      <c r="B23" s="551" t="n">
        <v>15000000</v>
      </c>
      <c r="C23" s="552" t="n">
        <v>34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Yes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Format="1" customHeight="1" s="380">
      <c r="A24" s="550" t="inlineStr">
        <is>
          <t>BD-08</t>
        </is>
      </c>
      <c r="B24" s="551" t="n">
        <v>18000000</v>
      </c>
      <c r="C24" s="552" t="n">
        <v>37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Yes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Format="1" customHeight="1" s="380">
      <c r="A25" s="550" t="inlineStr">
        <is>
          <t>BD-09</t>
        </is>
      </c>
      <c r="B25" s="551" t="n">
        <v>18000000</v>
      </c>
      <c r="C25" s="552" t="n">
        <v>40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Yes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Format="1" customHeight="1" s="380">
      <c r="A26" s="550" t="inlineStr">
        <is>
          <t>BD-10</t>
        </is>
      </c>
      <c r="B26" s="551" t="n">
        <v>18000000</v>
      </c>
      <c r="C26" s="552" t="n">
        <v>42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Yes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Format="1" customHeight="1" s="380">
      <c r="A27" s="550" t="inlineStr">
        <is>
          <t>BD-11</t>
        </is>
      </c>
      <c r="B27" s="551" t="n">
        <v>15000000</v>
      </c>
      <c r="C27" s="552" t="n">
        <v>44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Yes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Format="1" customHeight="1" s="380">
      <c r="A28" s="550" t="inlineStr">
        <is>
          <t>BD-12</t>
        </is>
      </c>
      <c r="B28" s="551" t="n">
        <v>15000000</v>
      </c>
      <c r="C28" s="552" t="n">
        <v>46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Yes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Format="1" customHeight="1" s="380">
      <c r="A29" s="550" t="inlineStr">
        <is>
          <t>BD-13</t>
        </is>
      </c>
      <c r="B29" s="551" t="n">
        <v>15000000</v>
      </c>
      <c r="C29" s="552" t="n">
        <v>48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Yes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Format="1" customHeight="1" s="380">
      <c r="A30" s="550" t="inlineStr">
        <is>
          <t>BD-14</t>
        </is>
      </c>
      <c r="B30" s="551" t="n">
        <v>15000000</v>
      </c>
      <c r="C30" s="552" t="n">
        <v>50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Yes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Format="1" customHeight="1" s="380">
      <c r="A31" s="550" t="inlineStr">
        <is>
          <t>BD-15</t>
        </is>
      </c>
      <c r="B31" s="551" t="n">
        <v>18000000</v>
      </c>
      <c r="C31" s="552" t="n">
        <v>52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Yes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Format="1" customHeight="1" s="380">
      <c r="A32" s="550" t="inlineStr">
        <is>
          <t>BD-16</t>
        </is>
      </c>
      <c r="B32" s="551" t="n">
        <v>15000000</v>
      </c>
      <c r="C32" s="552" t="n">
        <v>54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Yes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Format="1" customHeight="1" s="380">
      <c r="A33" s="550" t="inlineStr">
        <is>
          <t>BD-17</t>
        </is>
      </c>
      <c r="B33" s="551" t="n">
        <v>15000000</v>
      </c>
      <c r="C33" s="552" t="n">
        <v>56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Yes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Format="1" customHeight="1" s="380">
      <c r="A34" s="550" t="inlineStr">
        <is>
          <t>BD-18</t>
        </is>
      </c>
      <c r="B34" s="551" t="n">
        <v>18000000</v>
      </c>
      <c r="C34" s="552" t="n">
        <v>58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Yes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Format="1" customHeight="1" s="380">
      <c r="A35" s="550" t="inlineStr">
        <is>
          <t>BD-19</t>
        </is>
      </c>
      <c r="B35" s="551" t="n">
        <v>15000000</v>
      </c>
      <c r="C35" s="552" t="n">
        <v>60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Yes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Format="1" customHeight="1" s="380">
      <c r="A36" s="550" t="inlineStr">
        <is>
          <t>BD-20</t>
        </is>
      </c>
      <c r="B36" s="551" t="n">
        <v>18000000</v>
      </c>
      <c r="C36" s="552" t="n">
        <v>62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Yes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Format="1" customHeight="1" s="380">
      <c r="A37" s="550" t="inlineStr">
        <is>
          <t>BD-21</t>
        </is>
      </c>
      <c r="B37" s="551" t="n">
        <v>15000000</v>
      </c>
      <c r="C37" s="552" t="n">
        <v>64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Yes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Format="1" customHeight="1" s="380">
      <c r="A38" s="550" t="inlineStr">
        <is>
          <t>BD-22</t>
        </is>
      </c>
      <c r="B38" s="551" t="n">
        <v>15000000</v>
      </c>
      <c r="C38" s="552" t="n">
        <v>66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Yes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Format="1" customHeight="1" s="380">
      <c r="A39" s="550" t="inlineStr">
        <is>
          <t>BD-23</t>
        </is>
      </c>
      <c r="B39" s="551" t="n">
        <v>18000000</v>
      </c>
      <c r="C39" s="552" t="n">
        <v>68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Yes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Format="1" customHeight="1" s="380">
      <c r="A40" s="550" t="inlineStr">
        <is>
          <t>BD-24</t>
        </is>
      </c>
      <c r="B40" s="551" t="n">
        <v>15000000</v>
      </c>
      <c r="C40" s="552" t="n">
        <v>70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Yes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Format="1" customHeight="1" s="380">
      <c r="A41" s="550" t="inlineStr">
        <is>
          <t>BD-25</t>
        </is>
      </c>
      <c r="B41" s="551" t="n">
        <v>15000000</v>
      </c>
      <c r="C41" s="552" t="n">
        <v>72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Yes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Format="1" customHeight="1" s="380">
      <c r="A42" s="550" t="inlineStr">
        <is>
          <t>BD-26</t>
        </is>
      </c>
      <c r="B42" s="551" t="n">
        <v>18000000</v>
      </c>
      <c r="C42" s="552" t="n">
        <v>74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Yes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Format="1" customHeight="1" s="380">
      <c r="A43" s="550" t="inlineStr">
        <is>
          <t>BD-27</t>
        </is>
      </c>
      <c r="B43" s="551" t="n">
        <v>15000000</v>
      </c>
      <c r="C43" s="552" t="n">
        <v>76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Yes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Format="1" customHeight="1" s="380">
      <c r="A44" s="550" t="inlineStr">
        <is>
          <t>BD-28</t>
        </is>
      </c>
      <c r="B44" s="551" t="n">
        <v>15000000</v>
      </c>
      <c r="C44" s="552" t="n">
        <v>78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Yes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Format="1" customHeight="1" s="380">
      <c r="A45" s="550" t="inlineStr">
        <is>
          <t>BD-29</t>
        </is>
      </c>
      <c r="B45" s="551" t="n">
        <v>18000000</v>
      </c>
      <c r="C45" s="552" t="n">
        <v>80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Yes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Format="1" customHeight="1" s="380">
      <c r="A46" s="550" t="inlineStr">
        <is>
          <t>BD-30</t>
        </is>
      </c>
      <c r="B46" s="551" t="n">
        <v>15000000</v>
      </c>
      <c r="C46" s="552" t="n">
        <v>82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Yes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2" customWidth="1" style="380" min="7" max="106"/>
  </cols>
  <sheetData>
    <row r="1" ht="19.5" customFormat="1" customHeight="1" s="380">
      <c r="A1" s="473" t="inlineStr">
        <is>
          <t>Straight-Line Monthly Billing of In-Place Contracts</t>
        </is>
      </c>
    </row>
    <row r="2" ht="15" customFormat="1" customHeight="1" s="380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Format="1" customHeight="1" s="380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Format="1" customHeight="1" s="380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Format="1" customHeight="1" s="380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Format="1" customHeight="1" s="380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Format="1" customHeight="1" s="380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Format="1" customHeight="1" s="380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Format="1" customHeight="1" s="380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Format="1" customHeight="1" s="380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Format="1" customHeight="1" s="380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Format="1" customHeight="1" s="380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Format="1" customHeight="1" s="380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Format="1" customHeight="1" s="380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Format="1" customHeight="1" s="380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Format="1" customHeight="1" s="380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Format="1" customHeight="1" s="380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Format="1" customHeight="1" s="380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Format="1" customHeight="1" s="380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Format="1" customHeight="1" s="380">
      <c r="A21" s="473" t="inlineStr">
        <is>
          <t>Committed: Monthly Billing In Place ($M)</t>
        </is>
      </c>
      <c r="G21" s="568">
        <f>SUM(G7:G20)+SUM(G24:G52)</f>
        <v/>
      </c>
      <c r="H21" s="568">
        <f>SUM(H7:H20)+SUM(H24:H52)</f>
        <v/>
      </c>
      <c r="I21" s="568">
        <f>SUM(I7:I20)+SUM(I24:I52)</f>
        <v/>
      </c>
      <c r="J21" s="568">
        <f>SUM(J7:J20)+SUM(J24:J52)</f>
        <v/>
      </c>
      <c r="K21" s="568">
        <f>SUM(K7:K20)+SUM(K24:K52)</f>
        <v/>
      </c>
      <c r="L21" s="568">
        <f>SUM(L7:L20)+SUM(L24:L52)</f>
        <v/>
      </c>
      <c r="M21" s="568">
        <f>SUM(M7:M20)+SUM(M24:M52)</f>
        <v/>
      </c>
      <c r="N21" s="568">
        <f>SUM(N7:N20)+SUM(N24:N52)</f>
        <v/>
      </c>
      <c r="O21" s="568">
        <f>SUM(O7:O20)+SUM(O24:O52)</f>
        <v/>
      </c>
      <c r="P21" s="568">
        <f>SUM(P7:P20)+SUM(P24:P52)</f>
        <v/>
      </c>
      <c r="Q21" s="568">
        <f>SUM(Q7:Q20)+SUM(Q24:Q52)</f>
        <v/>
      </c>
      <c r="R21" s="568">
        <f>SUM(R7:R20)+SUM(R24:R52)</f>
        <v/>
      </c>
      <c r="S21" s="568">
        <f>SUM(S7:S20)+SUM(S24:S52)</f>
        <v/>
      </c>
      <c r="T21" s="568">
        <f>SUM(T7:T20)+SUM(T24:T52)</f>
        <v/>
      </c>
      <c r="U21" s="568">
        <f>SUM(U7:U20)+SUM(U24:U52)</f>
        <v/>
      </c>
      <c r="V21" s="568">
        <f>SUM(V7:V20)+SUM(V24:V52)</f>
        <v/>
      </c>
      <c r="W21" s="568">
        <f>SUM(W7:W20)+SUM(W24:W52)</f>
        <v/>
      </c>
      <c r="X21" s="568">
        <f>SUM(X7:X20)+SUM(X24:X52)</f>
        <v/>
      </c>
      <c r="Y21" s="568">
        <f>SUM(Y7:Y20)+SUM(Y24:Y52)</f>
        <v/>
      </c>
      <c r="Z21" s="568">
        <f>SUM(Z7:Z20)+SUM(Z24:Z52)</f>
        <v/>
      </c>
      <c r="AA21" s="568">
        <f>SUM(AA7:AA20)+SUM(AA24:AA52)</f>
        <v/>
      </c>
      <c r="AB21" s="568">
        <f>SUM(AB7:AB20)+SUM(AB24:AB52)</f>
        <v/>
      </c>
      <c r="AC21" s="568">
        <f>SUM(AC7:AC20)+SUM(AC24:AC52)</f>
        <v/>
      </c>
      <c r="AD21" s="568">
        <f>SUM(AD7:AD20)+SUM(AD24:AD52)</f>
        <v/>
      </c>
      <c r="AE21" s="568">
        <f>SUM(AE7:AE20)+SUM(AE24:AE52)</f>
        <v/>
      </c>
      <c r="AF21" s="568">
        <f>SUM(AF7:AF20)+SUM(AF24:AF52)</f>
        <v/>
      </c>
      <c r="AG21" s="568">
        <f>SUM(AG7:AG20)+SUM(AG24:AG52)</f>
        <v/>
      </c>
      <c r="AH21" s="568">
        <f>SUM(AH7:AH20)+SUM(AH24:AH52)</f>
        <v/>
      </c>
      <c r="AI21" s="568">
        <f>SUM(AI7:AI20)+SUM(AI24:AI52)</f>
        <v/>
      </c>
      <c r="AJ21" s="568">
        <f>SUM(AJ7:AJ20)+SUM(AJ24:AJ52)</f>
        <v/>
      </c>
      <c r="AK21" s="568">
        <f>SUM(AK7:AK20)+SUM(AK24:AK52)</f>
        <v/>
      </c>
      <c r="AL21" s="568">
        <f>SUM(AL7:AL20)+SUM(AL24:AL52)</f>
        <v/>
      </c>
      <c r="AM21" s="568">
        <f>SUM(AM7:AM20)+SUM(AM24:AM52)</f>
        <v/>
      </c>
      <c r="AN21" s="568">
        <f>SUM(AN7:AN20)+SUM(AN24:AN52)</f>
        <v/>
      </c>
      <c r="AO21" s="568">
        <f>SUM(AO7:AO20)+SUM(AO24:AO52)</f>
        <v/>
      </c>
      <c r="AP21" s="568">
        <f>SUM(AP7:AP20)+SUM(AP24:AP52)</f>
        <v/>
      </c>
      <c r="AQ21" s="568">
        <f>SUM(AQ7:AQ20)+SUM(AQ24:AQ52)</f>
        <v/>
      </c>
      <c r="AR21" s="568">
        <f>SUM(AR7:AR20)+SUM(AR24:AR52)</f>
        <v/>
      </c>
      <c r="AS21" s="568">
        <f>SUM(AS7:AS20)+SUM(AS24:AS52)</f>
        <v/>
      </c>
      <c r="AT21" s="568">
        <f>SUM(AT7:AT20)+SUM(AT24:AT52)</f>
        <v/>
      </c>
      <c r="AU21" s="568">
        <f>SUM(AU7:AU20)+SUM(AU24:AU52)</f>
        <v/>
      </c>
      <c r="AV21" s="568">
        <f>SUM(AV7:AV20)+SUM(AV24:AV52)</f>
        <v/>
      </c>
      <c r="AW21" s="568">
        <f>SUM(AW7:AW20)+SUM(AW24:AW52)</f>
        <v/>
      </c>
      <c r="AX21" s="568">
        <f>SUM(AX7:AX20)+SUM(AX24:AX52)</f>
        <v/>
      </c>
      <c r="AY21" s="568">
        <f>SUM(AY7:AY20)+SUM(AY24:AY52)</f>
        <v/>
      </c>
      <c r="AZ21" s="568">
        <f>SUM(AZ7:AZ20)+SUM(AZ24:AZ52)</f>
        <v/>
      </c>
      <c r="BA21" s="568">
        <f>SUM(BA7:BA20)+SUM(BA24:BA52)</f>
        <v/>
      </c>
      <c r="BB21" s="568">
        <f>SUM(BB7:BB20)+SUM(BB24:BB52)</f>
        <v/>
      </c>
      <c r="BC21" s="568">
        <f>SUM(BC7:BC20)+SUM(BC24:BC52)</f>
        <v/>
      </c>
      <c r="BD21" s="568">
        <f>SUM(BD7:BD20)+SUM(BD24:BD52)</f>
        <v/>
      </c>
      <c r="BE21" s="568">
        <f>SUM(BE7:BE20)+SUM(BE24:BE52)</f>
        <v/>
      </c>
      <c r="BF21" s="568">
        <f>SUM(BF7:BF20)+SUM(BF24:BF52)</f>
        <v/>
      </c>
      <c r="BG21" s="568">
        <f>SUM(BG7:BG20)+SUM(BG24:BG52)</f>
        <v/>
      </c>
      <c r="BH21" s="568">
        <f>SUM(BH7:BH20)+SUM(BH24:BH52)</f>
        <v/>
      </c>
      <c r="BI21" s="568">
        <f>SUM(BI7:BI20)+SUM(BI24:BI52)</f>
        <v/>
      </c>
      <c r="BJ21" s="568">
        <f>SUM(BJ7:BJ20)+SUM(BJ24:BJ52)</f>
        <v/>
      </c>
      <c r="BK21" s="568">
        <f>SUM(BK7:BK20)+SUM(BK24:BK52)</f>
        <v/>
      </c>
      <c r="BL21" s="568">
        <f>SUM(BL7:BL20)+SUM(BL24:BL52)</f>
        <v/>
      </c>
      <c r="BM21" s="568">
        <f>SUM(BM7:BM20)+SUM(BM24:BM52)</f>
        <v/>
      </c>
      <c r="BN21" s="568">
        <f>SUM(BN7:BN20)+SUM(BN24:BN52)</f>
        <v/>
      </c>
      <c r="BO21" s="568">
        <f>SUM(BO7:BO20)+SUM(BO24:BO52)</f>
        <v/>
      </c>
      <c r="BP21" s="568">
        <f>SUM(BP7:BP20)+SUM(BP24:BP52)</f>
        <v/>
      </c>
      <c r="BQ21" s="568">
        <f>SUM(BQ7:BQ20)+SUM(BQ24:BQ52)</f>
        <v/>
      </c>
      <c r="BR21" s="568">
        <f>SUM(BR7:BR20)+SUM(BR24:BR52)</f>
        <v/>
      </c>
      <c r="BS21" s="568">
        <f>SUM(BS7:BS20)+SUM(BS24:BS52)</f>
        <v/>
      </c>
      <c r="BT21" s="568">
        <f>SUM(BT7:BT20)+SUM(BT24:BT52)</f>
        <v/>
      </c>
      <c r="BU21" s="568">
        <f>SUM(BU7:BU20)+SUM(BU24:BU52)</f>
        <v/>
      </c>
      <c r="BV21" s="568">
        <f>SUM(BV7:BV20)+SUM(BV24:BV52)</f>
        <v/>
      </c>
      <c r="BW21" s="568">
        <f>SUM(BW7:BW20)+SUM(BW24:BW52)</f>
        <v/>
      </c>
      <c r="BX21" s="568">
        <f>SUM(BX7:BX20)+SUM(BX24:BX52)</f>
        <v/>
      </c>
      <c r="BY21" s="568">
        <f>SUM(BY7:BY20)+SUM(BY24:BY52)</f>
        <v/>
      </c>
      <c r="BZ21" s="568">
        <f>SUM(BZ7:BZ20)+SUM(BZ24:BZ52)</f>
        <v/>
      </c>
      <c r="CA21" s="568">
        <f>SUM(CA7:CA20)+SUM(CA24:CA52)</f>
        <v/>
      </c>
      <c r="CB21" s="568">
        <f>SUM(CB7:CB20)+SUM(CB24:CB52)</f>
        <v/>
      </c>
      <c r="CC21" s="568">
        <f>SUM(CC7:CC20)+SUM(CC24:CC52)</f>
        <v/>
      </c>
      <c r="CD21" s="568">
        <f>SUM(CD7:CD20)+SUM(CD24:CD52)</f>
        <v/>
      </c>
      <c r="CE21" s="568">
        <f>SUM(CE7:CE20)+SUM(CE24:CE52)</f>
        <v/>
      </c>
      <c r="CF21" s="568">
        <f>SUM(CF7:CF20)+SUM(CF24:CF52)</f>
        <v/>
      </c>
      <c r="CG21" s="568">
        <f>SUM(CG7:CG20)+SUM(CG24:CG52)</f>
        <v/>
      </c>
      <c r="CH21" s="568">
        <f>SUM(CH7:CH20)+SUM(CH24:CH52)</f>
        <v/>
      </c>
      <c r="CI21" s="568">
        <f>SUM(CI7:CI20)+SUM(CI24:CI52)</f>
        <v/>
      </c>
      <c r="CJ21" s="568">
        <f>SUM(CJ7:CJ20)+SUM(CJ24:CJ52)</f>
        <v/>
      </c>
      <c r="CK21" s="568">
        <f>SUM(CK7:CK20)+SUM(CK24:CK52)</f>
        <v/>
      </c>
      <c r="CL21" s="568">
        <f>SUM(CL7:CL20)+SUM(CL24:CL52)</f>
        <v/>
      </c>
      <c r="CM21" s="568">
        <f>SUM(CM7:CM20)+SUM(CM24:CM52)</f>
        <v/>
      </c>
      <c r="CN21" s="568">
        <f>SUM(CN7:CN20)+SUM(CN24:CN52)</f>
        <v/>
      </c>
      <c r="CO21" s="568">
        <f>SUM(CO7:CO20)+SUM(CO24:CO52)</f>
        <v/>
      </c>
      <c r="CP21" s="568">
        <f>SUM(CP7:CP20)+SUM(CP24:CP52)</f>
        <v/>
      </c>
      <c r="CQ21" s="568">
        <f>SUM(CQ7:CQ20)+SUM(CQ24:CQ52)</f>
        <v/>
      </c>
      <c r="CR21" s="568">
        <f>SUM(CR7:CR20)+SUM(CR24:CR52)</f>
        <v/>
      </c>
      <c r="CS21" s="568">
        <f>SUM(CS7:CS20)+SUM(CS24:CS52)</f>
        <v/>
      </c>
      <c r="CT21" s="568">
        <f>SUM(CT7:CT20)+SUM(CT24:CT52)</f>
        <v/>
      </c>
      <c r="CU21" s="568">
        <f>SUM(CU7:CU20)+SUM(CU24:CU52)</f>
        <v/>
      </c>
      <c r="CV21" s="568">
        <f>SUM(CV7:CV20)+SUM(CV24:CV52)</f>
        <v/>
      </c>
      <c r="CW21" s="568">
        <f>SUM(CW7:CW20)+SUM(CW24:CW52)</f>
        <v/>
      </c>
      <c r="CX21" s="568">
        <f>SUM(CX7:CX20)+SUM(CX24:CX52)</f>
        <v/>
      </c>
      <c r="CY21" s="568">
        <f>SUM(CY7:CY20)+SUM(CY24:CY52)</f>
        <v/>
      </c>
      <c r="CZ21" s="568">
        <f>SUM(CZ7:CZ20)+SUM(CZ24:CZ52)</f>
        <v/>
      </c>
      <c r="DA21" s="568">
        <f>SUM(DA7:DA20)+SUM(DA24:DA52)</f>
        <v/>
      </c>
      <c r="DB21" s="568">
        <f>SUM(DB7:DB20)+SUM(DB24:DB52)</f>
        <v/>
      </c>
    </row>
    <row r="22" ht="15" customFormat="1" customHeight="1" s="380">
      <c r="A22" s="473" t="inlineStr">
        <is>
          <t>Committed: Jobs Active (#)</t>
        </is>
      </c>
      <c r="G22" s="569">
        <f>COUNT(G7:G20)+COUNT(G24:G52)</f>
        <v/>
      </c>
      <c r="H22" s="569">
        <f>COUNT(H7:H20)+COUNT(H24:H52)</f>
        <v/>
      </c>
      <c r="I22" s="569">
        <f>COUNT(I7:I20)+COUNT(I24:I52)</f>
        <v/>
      </c>
      <c r="J22" s="569">
        <f>COUNT(J7:J20)+COUNT(J24:J52)</f>
        <v/>
      </c>
      <c r="K22" s="569">
        <f>COUNT(K7:K20)+COUNT(K24:K52)</f>
        <v/>
      </c>
      <c r="L22" s="569">
        <f>COUNT(L7:L20)+COUNT(L24:L52)</f>
        <v/>
      </c>
      <c r="M22" s="569">
        <f>COUNT(M7:M20)+COUNT(M24:M52)</f>
        <v/>
      </c>
      <c r="N22" s="569">
        <f>COUNT(N7:N20)+COUNT(N24:N52)</f>
        <v/>
      </c>
      <c r="O22" s="569">
        <f>COUNT(O7:O20)+COUNT(O24:O52)</f>
        <v/>
      </c>
      <c r="P22" s="569">
        <f>COUNT(P7:P20)+COUNT(P24:P52)</f>
        <v/>
      </c>
      <c r="Q22" s="569">
        <f>COUNT(Q7:Q20)+COUNT(Q24:Q52)</f>
        <v/>
      </c>
      <c r="R22" s="569">
        <f>COUNT(R7:R20)+COUNT(R24:R52)</f>
        <v/>
      </c>
      <c r="S22" s="569">
        <f>COUNT(S7:S20)+COUNT(S24:S52)</f>
        <v/>
      </c>
      <c r="T22" s="569">
        <f>COUNT(T7:T20)+COUNT(T24:T52)</f>
        <v/>
      </c>
      <c r="U22" s="569">
        <f>COUNT(U7:U20)+COUNT(U24:U52)</f>
        <v/>
      </c>
      <c r="V22" s="569">
        <f>COUNT(V7:V20)+COUNT(V24:V52)</f>
        <v/>
      </c>
      <c r="W22" s="569">
        <f>COUNT(W7:W20)+COUNT(W24:W52)</f>
        <v/>
      </c>
      <c r="X22" s="569">
        <f>COUNT(X7:X20)+COUNT(X24:X52)</f>
        <v/>
      </c>
      <c r="Y22" s="569">
        <f>COUNT(Y7:Y20)+COUNT(Y24:Y52)</f>
        <v/>
      </c>
      <c r="Z22" s="569">
        <f>COUNT(Z7:Z20)+COUNT(Z24:Z52)</f>
        <v/>
      </c>
      <c r="AA22" s="569">
        <f>COUNT(AA7:AA20)+COUNT(AA24:AA52)</f>
        <v/>
      </c>
      <c r="AB22" s="569">
        <f>COUNT(AB7:AB20)+COUNT(AB24:AB52)</f>
        <v/>
      </c>
      <c r="AC22" s="569">
        <f>COUNT(AC7:AC20)+COUNT(AC24:AC52)</f>
        <v/>
      </c>
      <c r="AD22" s="569">
        <f>COUNT(AD7:AD20)+COUNT(AD24:AD52)</f>
        <v/>
      </c>
      <c r="AE22" s="569">
        <f>COUNT(AE7:AE20)+COUNT(AE24:AE52)</f>
        <v/>
      </c>
      <c r="AF22" s="569">
        <f>COUNT(AF7:AF20)+COUNT(AF24:AF52)</f>
        <v/>
      </c>
      <c r="AG22" s="569">
        <f>COUNT(AG7:AG20)+COUNT(AG24:AG52)</f>
        <v/>
      </c>
      <c r="AH22" s="569">
        <f>COUNT(AH7:AH20)+COUNT(AH24:AH52)</f>
        <v/>
      </c>
      <c r="AI22" s="569">
        <f>COUNT(AI7:AI20)+COUNT(AI24:AI52)</f>
        <v/>
      </c>
      <c r="AJ22" s="569">
        <f>COUNT(AJ7:AJ20)+COUNT(AJ24:AJ52)</f>
        <v/>
      </c>
      <c r="AK22" s="569">
        <f>COUNT(AK7:AK20)+COUNT(AK24:AK52)</f>
        <v/>
      </c>
      <c r="AL22" s="569">
        <f>COUNT(AL7:AL20)+COUNT(AL24:AL52)</f>
        <v/>
      </c>
      <c r="AM22" s="569">
        <f>COUNT(AM7:AM20)+COUNT(AM24:AM52)</f>
        <v/>
      </c>
      <c r="AN22" s="569">
        <f>COUNT(AN7:AN20)+COUNT(AN24:AN52)</f>
        <v/>
      </c>
      <c r="AO22" s="569">
        <f>COUNT(AO7:AO20)+COUNT(AO24:AO52)</f>
        <v/>
      </c>
      <c r="AP22" s="569">
        <f>COUNT(AP7:AP20)+COUNT(AP24:AP52)</f>
        <v/>
      </c>
      <c r="AQ22" s="569">
        <f>COUNT(AQ7:AQ20)+COUNT(AQ24:AQ52)</f>
        <v/>
      </c>
      <c r="AR22" s="569">
        <f>COUNT(AR7:AR20)+COUNT(AR24:AR52)</f>
        <v/>
      </c>
      <c r="AS22" s="569">
        <f>COUNT(AS7:AS20)+COUNT(AS24:AS52)</f>
        <v/>
      </c>
      <c r="AT22" s="569">
        <f>COUNT(AT7:AT20)+COUNT(AT24:AT52)</f>
        <v/>
      </c>
      <c r="AU22" s="569">
        <f>COUNT(AU7:AU20)+COUNT(AU24:AU52)</f>
        <v/>
      </c>
      <c r="AV22" s="569">
        <f>COUNT(AV7:AV20)+COUNT(AV24:AV52)</f>
        <v/>
      </c>
      <c r="AW22" s="569">
        <f>COUNT(AW7:AW20)+COUNT(AW24:AW52)</f>
        <v/>
      </c>
      <c r="AX22" s="569">
        <f>COUNT(AX7:AX20)+COUNT(AX24:AX52)</f>
        <v/>
      </c>
      <c r="AY22" s="569">
        <f>COUNT(AY7:AY20)+COUNT(AY24:AY52)</f>
        <v/>
      </c>
      <c r="AZ22" s="569">
        <f>COUNT(AZ7:AZ20)+COUNT(AZ24:AZ52)</f>
        <v/>
      </c>
      <c r="BA22" s="569">
        <f>COUNT(BA7:BA20)+COUNT(BA24:BA52)</f>
        <v/>
      </c>
      <c r="BB22" s="569">
        <f>COUNT(BB7:BB20)+COUNT(BB24:BB52)</f>
        <v/>
      </c>
      <c r="BC22" s="569">
        <f>COUNT(BC7:BC20)+COUNT(BC24:BC52)</f>
        <v/>
      </c>
      <c r="BD22" s="569">
        <f>COUNT(BD7:BD20)+COUNT(BD24:BD52)</f>
        <v/>
      </c>
      <c r="BE22" s="569">
        <f>COUNT(BE7:BE20)+COUNT(BE24:BE52)</f>
        <v/>
      </c>
      <c r="BF22" s="569">
        <f>COUNT(BF7:BF20)+COUNT(BF24:BF52)</f>
        <v/>
      </c>
      <c r="BG22" s="569">
        <f>COUNT(BG7:BG20)+COUNT(BG24:BG52)</f>
        <v/>
      </c>
      <c r="BH22" s="569">
        <f>COUNT(BH7:BH20)+COUNT(BH24:BH52)</f>
        <v/>
      </c>
      <c r="BI22" s="569">
        <f>COUNT(BI7:BI20)+COUNT(BI24:BI52)</f>
        <v/>
      </c>
      <c r="BJ22" s="569">
        <f>COUNT(BJ7:BJ20)+COUNT(BJ24:BJ52)</f>
        <v/>
      </c>
      <c r="BK22" s="569">
        <f>COUNT(BK7:BK20)+COUNT(BK24:BK52)</f>
        <v/>
      </c>
      <c r="BL22" s="569">
        <f>COUNT(BL7:BL20)+COUNT(BL24:BL52)</f>
        <v/>
      </c>
      <c r="BM22" s="569">
        <f>COUNT(BM7:BM20)+COUNT(BM24:BM52)</f>
        <v/>
      </c>
      <c r="BN22" s="569">
        <f>COUNT(BN7:BN20)+COUNT(BN24:BN52)</f>
        <v/>
      </c>
      <c r="BO22" s="569">
        <f>COUNT(BO7:BO20)+COUNT(BO24:BO52)</f>
        <v/>
      </c>
      <c r="BP22" s="569">
        <f>COUNT(BP7:BP20)+COUNT(BP24:BP52)</f>
        <v/>
      </c>
      <c r="BQ22" s="569">
        <f>COUNT(BQ7:BQ20)+COUNT(BQ24:BQ52)</f>
        <v/>
      </c>
      <c r="BR22" s="569">
        <f>COUNT(BR7:BR20)+COUNT(BR24:BR52)</f>
        <v/>
      </c>
      <c r="BS22" s="569">
        <f>COUNT(BS7:BS20)+COUNT(BS24:BS52)</f>
        <v/>
      </c>
      <c r="BT22" s="569">
        <f>COUNT(BT7:BT20)+COUNT(BT24:BT52)</f>
        <v/>
      </c>
      <c r="BU22" s="569">
        <f>COUNT(BU7:BU20)+COUNT(BU24:BU52)</f>
        <v/>
      </c>
      <c r="BV22" s="569">
        <f>COUNT(BV7:BV20)+COUNT(BV24:BV52)</f>
        <v/>
      </c>
      <c r="BW22" s="569">
        <f>COUNT(BW7:BW20)+COUNT(BW24:BW52)</f>
        <v/>
      </c>
      <c r="BX22" s="569">
        <f>COUNT(BX7:BX20)+COUNT(BX24:BX52)</f>
        <v/>
      </c>
      <c r="BY22" s="569">
        <f>COUNT(BY7:BY20)+COUNT(BY24:BY52)</f>
        <v/>
      </c>
      <c r="BZ22" s="569">
        <f>COUNT(BZ7:BZ20)+COUNT(BZ24:BZ52)</f>
        <v/>
      </c>
      <c r="CA22" s="569">
        <f>COUNT(CA7:CA20)+COUNT(CA24:CA52)</f>
        <v/>
      </c>
      <c r="CB22" s="569">
        <f>COUNT(CB7:CB20)+COUNT(CB24:CB52)</f>
        <v/>
      </c>
      <c r="CC22" s="569">
        <f>COUNT(CC7:CC20)+COUNT(CC24:CC52)</f>
        <v/>
      </c>
      <c r="CD22" s="569">
        <f>COUNT(CD7:CD20)+COUNT(CD24:CD52)</f>
        <v/>
      </c>
      <c r="CE22" s="569">
        <f>COUNT(CE7:CE20)+COUNT(CE24:CE52)</f>
        <v/>
      </c>
      <c r="CF22" s="569">
        <f>COUNT(CF7:CF20)+COUNT(CF24:CF52)</f>
        <v/>
      </c>
      <c r="CG22" s="569">
        <f>COUNT(CG7:CG20)+COUNT(CG24:CG52)</f>
        <v/>
      </c>
      <c r="CH22" s="569">
        <f>COUNT(CH7:CH20)+COUNT(CH24:CH52)</f>
        <v/>
      </c>
      <c r="CI22" s="569">
        <f>COUNT(CI7:CI20)+COUNT(CI24:CI52)</f>
        <v/>
      </c>
      <c r="CJ22" s="569">
        <f>COUNT(CJ7:CJ20)+COUNT(CJ24:CJ52)</f>
        <v/>
      </c>
      <c r="CK22" s="569">
        <f>COUNT(CK7:CK20)+COUNT(CK24:CK52)</f>
        <v/>
      </c>
      <c r="CL22" s="569">
        <f>COUNT(CL7:CL20)+COUNT(CL24:CL52)</f>
        <v/>
      </c>
      <c r="CM22" s="569">
        <f>COUNT(CM7:CM20)+COUNT(CM24:CM52)</f>
        <v/>
      </c>
      <c r="CN22" s="569">
        <f>COUNT(CN7:CN20)+COUNT(CN24:CN52)</f>
        <v/>
      </c>
      <c r="CO22" s="569">
        <f>COUNT(CO7:CO20)+COUNT(CO24:CO52)</f>
        <v/>
      </c>
      <c r="CP22" s="569">
        <f>COUNT(CP7:CP20)+COUNT(CP24:CP52)</f>
        <v/>
      </c>
      <c r="CQ22" s="569">
        <f>COUNT(CQ7:CQ20)+COUNT(CQ24:CQ52)</f>
        <v/>
      </c>
      <c r="CR22" s="569">
        <f>COUNT(CR7:CR20)+COUNT(CR24:CR52)</f>
        <v/>
      </c>
      <c r="CS22" s="569">
        <f>COUNT(CS7:CS20)+COUNT(CS24:CS52)</f>
        <v/>
      </c>
      <c r="CT22" s="569">
        <f>COUNT(CT7:CT20)+COUNT(CT24:CT52)</f>
        <v/>
      </c>
      <c r="CU22" s="569">
        <f>COUNT(CU7:CU20)+COUNT(CU24:CU52)</f>
        <v/>
      </c>
      <c r="CV22" s="569">
        <f>COUNT(CV7:CV20)+COUNT(CV24:CV52)</f>
        <v/>
      </c>
      <c r="CW22" s="569">
        <f>COUNT(CW7:CW20)+COUNT(CW24:CW52)</f>
        <v/>
      </c>
      <c r="CX22" s="569">
        <f>COUNT(CX7:CX20)+COUNT(CX24:CX52)</f>
        <v/>
      </c>
      <c r="CY22" s="569">
        <f>COUNT(CY7:CY20)+COUNT(CY24:CY52)</f>
        <v/>
      </c>
      <c r="CZ22" s="569">
        <f>COUNT(CZ7:CZ20)+COUNT(CZ24:CZ52)</f>
        <v/>
      </c>
      <c r="DA22" s="569">
        <f>COUNT(DA7:DA20)+COUNT(DA24:DA52)</f>
        <v/>
      </c>
      <c r="DB22" s="569">
        <f>COUNT(DB7:DB20)+COUNT(DB24:DB52)</f>
        <v/>
      </c>
    </row>
    <row r="23" ht="15" customFormat="1" customHeight="1" s="380">
      <c r="A23" s="561" t="inlineStr">
        <is>
          <t>COMMITTED (cont., rows 24-52)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Format="1" customHeight="1" s="380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Format="1" customHeight="1" s="380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Format="1" customHeight="1" s="380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Format="1" customHeight="1" s="380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Format="1" customHeight="1" s="380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Format="1" customHeight="1" s="380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Format="1" customHeight="1" s="380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Format="1" customHeight="1" s="380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Format="1" customHeight="1" s="380">
      <c r="A32" s="563" t="inlineStr">
        <is>
          <t>BD-10</t>
        </is>
      </c>
      <c r="B32" s="564">
        <f>Projects!$B$26</f>
        <v/>
      </c>
      <c r="C32" s="565">
        <f>EDATE(Model!$E$2,Projects!$C$26-1)</f>
        <v/>
      </c>
      <c r="D32" s="565">
        <f>EDATE(Model!$E$2,Projects!$C$26+Projects!$D$26-2)</f>
        <v/>
      </c>
      <c r="E32" s="566">
        <f>Projects!$D$26</f>
        <v/>
      </c>
      <c r="F32" s="564">
        <f>Projects!$B$26/Projects!$D$26</f>
        <v/>
      </c>
      <c r="G32" s="567">
        <f>IF(AND(Projects!$C$26&lt;=G$4,G$4&lt;=Projects!$C$26+Projects!$D$26-1),Projects!$B$26/Projects!$D$26,"")</f>
        <v/>
      </c>
      <c r="H32" s="567">
        <f>IF(AND(Projects!$C$26&lt;=H$4,H$4&lt;=Projects!$C$26+Projects!$D$26-1),Projects!$B$26/Projects!$D$26,"")</f>
        <v/>
      </c>
      <c r="I32" s="567">
        <f>IF(AND(Projects!$C$26&lt;=I$4,I$4&lt;=Projects!$C$26+Projects!$D$26-1),Projects!$B$26/Projects!$D$26,"")</f>
        <v/>
      </c>
      <c r="J32" s="567">
        <f>IF(AND(Projects!$C$26&lt;=J$4,J$4&lt;=Projects!$C$26+Projects!$D$26-1),Projects!$B$26/Projects!$D$26,"")</f>
        <v/>
      </c>
      <c r="K32" s="567">
        <f>IF(AND(Projects!$C$26&lt;=K$4,K$4&lt;=Projects!$C$26+Projects!$D$26-1),Projects!$B$26/Projects!$D$26,"")</f>
        <v/>
      </c>
      <c r="L32" s="567">
        <f>IF(AND(Projects!$C$26&lt;=L$4,L$4&lt;=Projects!$C$26+Projects!$D$26-1),Projects!$B$26/Projects!$D$26,"")</f>
        <v/>
      </c>
      <c r="M32" s="567">
        <f>IF(AND(Projects!$C$26&lt;=M$4,M$4&lt;=Projects!$C$26+Projects!$D$26-1),Projects!$B$26/Projects!$D$26,"")</f>
        <v/>
      </c>
      <c r="N32" s="567">
        <f>IF(AND(Projects!$C$26&lt;=N$4,N$4&lt;=Projects!$C$26+Projects!$D$26-1),Projects!$B$26/Projects!$D$26,"")</f>
        <v/>
      </c>
      <c r="O32" s="567">
        <f>IF(AND(Projects!$C$26&lt;=O$4,O$4&lt;=Projects!$C$26+Projects!$D$26-1),Projects!$B$26/Projects!$D$26,"")</f>
        <v/>
      </c>
      <c r="P32" s="567">
        <f>IF(AND(Projects!$C$26&lt;=P$4,P$4&lt;=Projects!$C$26+Projects!$D$26-1),Projects!$B$26/Projects!$D$26,"")</f>
        <v/>
      </c>
      <c r="Q32" s="567">
        <f>IF(AND(Projects!$C$26&lt;=Q$4,Q$4&lt;=Projects!$C$26+Projects!$D$26-1),Projects!$B$26/Projects!$D$26,"")</f>
        <v/>
      </c>
      <c r="R32" s="567">
        <f>IF(AND(Projects!$C$26&lt;=R$4,R$4&lt;=Projects!$C$26+Projects!$D$26-1),Projects!$B$26/Projects!$D$26,"")</f>
        <v/>
      </c>
      <c r="S32" s="567">
        <f>IF(AND(Projects!$C$26&lt;=S$4,S$4&lt;=Projects!$C$26+Projects!$D$26-1),Projects!$B$26/Projects!$D$26,"")</f>
        <v/>
      </c>
      <c r="T32" s="567">
        <f>IF(AND(Projects!$C$26&lt;=T$4,T$4&lt;=Projects!$C$26+Projects!$D$26-1),Projects!$B$26/Projects!$D$26,"")</f>
        <v/>
      </c>
      <c r="U32" s="567">
        <f>IF(AND(Projects!$C$26&lt;=U$4,U$4&lt;=Projects!$C$26+Projects!$D$26-1),Projects!$B$26/Projects!$D$26,"")</f>
        <v/>
      </c>
      <c r="V32" s="567">
        <f>IF(AND(Projects!$C$26&lt;=V$4,V$4&lt;=Projects!$C$26+Projects!$D$26-1),Projects!$B$26/Projects!$D$26,"")</f>
        <v/>
      </c>
      <c r="W32" s="567">
        <f>IF(AND(Projects!$C$26&lt;=W$4,W$4&lt;=Projects!$C$26+Projects!$D$26-1),Projects!$B$26/Projects!$D$26,"")</f>
        <v/>
      </c>
      <c r="X32" s="567">
        <f>IF(AND(Projects!$C$26&lt;=X$4,X$4&lt;=Projects!$C$26+Projects!$D$26-1),Projects!$B$26/Projects!$D$26,"")</f>
        <v/>
      </c>
      <c r="Y32" s="567">
        <f>IF(AND(Projects!$C$26&lt;=Y$4,Y$4&lt;=Projects!$C$26+Projects!$D$26-1),Projects!$B$26/Projects!$D$26,"")</f>
        <v/>
      </c>
      <c r="Z32" s="567">
        <f>IF(AND(Projects!$C$26&lt;=Z$4,Z$4&lt;=Projects!$C$26+Projects!$D$26-1),Projects!$B$26/Projects!$D$26,"")</f>
        <v/>
      </c>
      <c r="AA32" s="567">
        <f>IF(AND(Projects!$C$26&lt;=AA$4,AA$4&lt;=Projects!$C$26+Projects!$D$26-1),Projects!$B$26/Projects!$D$26,"")</f>
        <v/>
      </c>
      <c r="AB32" s="567">
        <f>IF(AND(Projects!$C$26&lt;=AB$4,AB$4&lt;=Projects!$C$26+Projects!$D$26-1),Projects!$B$26/Projects!$D$26,"")</f>
        <v/>
      </c>
      <c r="AC32" s="567">
        <f>IF(AND(Projects!$C$26&lt;=AC$4,AC$4&lt;=Projects!$C$26+Projects!$D$26-1),Projects!$B$26/Projects!$D$26,"")</f>
        <v/>
      </c>
      <c r="AD32" s="567">
        <f>IF(AND(Projects!$C$26&lt;=AD$4,AD$4&lt;=Projects!$C$26+Projects!$D$26-1),Projects!$B$26/Projects!$D$26,"")</f>
        <v/>
      </c>
      <c r="AE32" s="567">
        <f>IF(AND(Projects!$C$26&lt;=AE$4,AE$4&lt;=Projects!$C$26+Projects!$D$26-1),Projects!$B$26/Projects!$D$26,"")</f>
        <v/>
      </c>
      <c r="AF32" s="567">
        <f>IF(AND(Projects!$C$26&lt;=AF$4,AF$4&lt;=Projects!$C$26+Projects!$D$26-1),Projects!$B$26/Projects!$D$26,"")</f>
        <v/>
      </c>
      <c r="AG32" s="567">
        <f>IF(AND(Projects!$C$26&lt;=AG$4,AG$4&lt;=Projects!$C$26+Projects!$D$26-1),Projects!$B$26/Projects!$D$26,"")</f>
        <v/>
      </c>
      <c r="AH32" s="567">
        <f>IF(AND(Projects!$C$26&lt;=AH$4,AH$4&lt;=Projects!$C$26+Projects!$D$26-1),Projects!$B$26/Projects!$D$26,"")</f>
        <v/>
      </c>
      <c r="AI32" s="567">
        <f>IF(AND(Projects!$C$26&lt;=AI$4,AI$4&lt;=Projects!$C$26+Projects!$D$26-1),Projects!$B$26/Projects!$D$26,"")</f>
        <v/>
      </c>
      <c r="AJ32" s="567">
        <f>IF(AND(Projects!$C$26&lt;=AJ$4,AJ$4&lt;=Projects!$C$26+Projects!$D$26-1),Projects!$B$26/Projects!$D$26,"")</f>
        <v/>
      </c>
      <c r="AK32" s="567">
        <f>IF(AND(Projects!$C$26&lt;=AK$4,AK$4&lt;=Projects!$C$26+Projects!$D$26-1),Projects!$B$26/Projects!$D$26,"")</f>
        <v/>
      </c>
      <c r="AL32" s="567">
        <f>IF(AND(Projects!$C$26&lt;=AL$4,AL$4&lt;=Projects!$C$26+Projects!$D$26-1),Projects!$B$26/Projects!$D$26,"")</f>
        <v/>
      </c>
      <c r="AM32" s="567">
        <f>IF(AND(Projects!$C$26&lt;=AM$4,AM$4&lt;=Projects!$C$26+Projects!$D$26-1),Projects!$B$26/Projects!$D$26,"")</f>
        <v/>
      </c>
      <c r="AN32" s="567">
        <f>IF(AND(Projects!$C$26&lt;=AN$4,AN$4&lt;=Projects!$C$26+Projects!$D$26-1),Projects!$B$26/Projects!$D$26,"")</f>
        <v/>
      </c>
      <c r="AO32" s="567">
        <f>IF(AND(Projects!$C$26&lt;=AO$4,AO$4&lt;=Projects!$C$26+Projects!$D$26-1),Projects!$B$26/Projects!$D$26,"")</f>
        <v/>
      </c>
      <c r="AP32" s="567">
        <f>IF(AND(Projects!$C$26&lt;=AP$4,AP$4&lt;=Projects!$C$26+Projects!$D$26-1),Projects!$B$26/Projects!$D$26,"")</f>
        <v/>
      </c>
      <c r="AQ32" s="567">
        <f>IF(AND(Projects!$C$26&lt;=AQ$4,AQ$4&lt;=Projects!$C$26+Projects!$D$26-1),Projects!$B$26/Projects!$D$26,"")</f>
        <v/>
      </c>
      <c r="AR32" s="567">
        <f>IF(AND(Projects!$C$26&lt;=AR$4,AR$4&lt;=Projects!$C$26+Projects!$D$26-1),Projects!$B$26/Projects!$D$26,"")</f>
        <v/>
      </c>
      <c r="AS32" s="567">
        <f>IF(AND(Projects!$C$26&lt;=AS$4,AS$4&lt;=Projects!$C$26+Projects!$D$26-1),Projects!$B$26/Projects!$D$26,"")</f>
        <v/>
      </c>
      <c r="AT32" s="567">
        <f>IF(AND(Projects!$C$26&lt;=AT$4,AT$4&lt;=Projects!$C$26+Projects!$D$26-1),Projects!$B$26/Projects!$D$26,"")</f>
        <v/>
      </c>
      <c r="AU32" s="567">
        <f>IF(AND(Projects!$C$26&lt;=AU$4,AU$4&lt;=Projects!$C$26+Projects!$D$26-1),Projects!$B$26/Projects!$D$26,"")</f>
        <v/>
      </c>
      <c r="AV32" s="567">
        <f>IF(AND(Projects!$C$26&lt;=AV$4,AV$4&lt;=Projects!$C$26+Projects!$D$26-1),Projects!$B$26/Projects!$D$26,"")</f>
        <v/>
      </c>
      <c r="AW32" s="567">
        <f>IF(AND(Projects!$C$26&lt;=AW$4,AW$4&lt;=Projects!$C$26+Projects!$D$26-1),Projects!$B$26/Projects!$D$26,"")</f>
        <v/>
      </c>
      <c r="AX32" s="567">
        <f>IF(AND(Projects!$C$26&lt;=AX$4,AX$4&lt;=Projects!$C$26+Projects!$D$26-1),Projects!$B$26/Projects!$D$26,"")</f>
        <v/>
      </c>
      <c r="AY32" s="567">
        <f>IF(AND(Projects!$C$26&lt;=AY$4,AY$4&lt;=Projects!$C$26+Projects!$D$26-1),Projects!$B$26/Projects!$D$26,"")</f>
        <v/>
      </c>
      <c r="AZ32" s="567">
        <f>IF(AND(Projects!$C$26&lt;=AZ$4,AZ$4&lt;=Projects!$C$26+Projects!$D$26-1),Projects!$B$26/Projects!$D$26,"")</f>
        <v/>
      </c>
      <c r="BA32" s="567">
        <f>IF(AND(Projects!$C$26&lt;=BA$4,BA$4&lt;=Projects!$C$26+Projects!$D$26-1),Projects!$B$26/Projects!$D$26,"")</f>
        <v/>
      </c>
      <c r="BB32" s="567">
        <f>IF(AND(Projects!$C$26&lt;=BB$4,BB$4&lt;=Projects!$C$26+Projects!$D$26-1),Projects!$B$26/Projects!$D$26,"")</f>
        <v/>
      </c>
      <c r="BC32" s="567">
        <f>IF(AND(Projects!$C$26&lt;=BC$4,BC$4&lt;=Projects!$C$26+Projects!$D$26-1),Projects!$B$26/Projects!$D$26,"")</f>
        <v/>
      </c>
      <c r="BD32" s="567">
        <f>IF(AND(Projects!$C$26&lt;=BD$4,BD$4&lt;=Projects!$C$26+Projects!$D$26-1),Projects!$B$26/Projects!$D$26,"")</f>
        <v/>
      </c>
      <c r="BE32" s="567">
        <f>IF(AND(Projects!$C$26&lt;=BE$4,BE$4&lt;=Projects!$C$26+Projects!$D$26-1),Projects!$B$26/Projects!$D$26,"")</f>
        <v/>
      </c>
      <c r="BF32" s="567">
        <f>IF(AND(Projects!$C$26&lt;=BF$4,BF$4&lt;=Projects!$C$26+Projects!$D$26-1),Projects!$B$26/Projects!$D$26,"")</f>
        <v/>
      </c>
      <c r="BG32" s="567">
        <f>IF(AND(Projects!$C$26&lt;=BG$4,BG$4&lt;=Projects!$C$26+Projects!$D$26-1),Projects!$B$26/Projects!$D$26,"")</f>
        <v/>
      </c>
      <c r="BH32" s="567">
        <f>IF(AND(Projects!$C$26&lt;=BH$4,BH$4&lt;=Projects!$C$26+Projects!$D$26-1),Projects!$B$26/Projects!$D$26,"")</f>
        <v/>
      </c>
      <c r="BI32" s="567">
        <f>IF(AND(Projects!$C$26&lt;=BI$4,BI$4&lt;=Projects!$C$26+Projects!$D$26-1),Projects!$B$26/Projects!$D$26,"")</f>
        <v/>
      </c>
      <c r="BJ32" s="567">
        <f>IF(AND(Projects!$C$26&lt;=BJ$4,BJ$4&lt;=Projects!$C$26+Projects!$D$26-1),Projects!$B$26/Projects!$D$26,"")</f>
        <v/>
      </c>
      <c r="BK32" s="567">
        <f>IF(AND(Projects!$C$26&lt;=BK$4,BK$4&lt;=Projects!$C$26+Projects!$D$26-1),Projects!$B$26/Projects!$D$26,"")</f>
        <v/>
      </c>
      <c r="BL32" s="567">
        <f>IF(AND(Projects!$C$26&lt;=BL$4,BL$4&lt;=Projects!$C$26+Projects!$D$26-1),Projects!$B$26/Projects!$D$26,"")</f>
        <v/>
      </c>
      <c r="BM32" s="567">
        <f>IF(AND(Projects!$C$26&lt;=BM$4,BM$4&lt;=Projects!$C$26+Projects!$D$26-1),Projects!$B$26/Projects!$D$26,"")</f>
        <v/>
      </c>
      <c r="BN32" s="567">
        <f>IF(AND(Projects!$C$26&lt;=BN$4,BN$4&lt;=Projects!$C$26+Projects!$D$26-1),Projects!$B$26/Projects!$D$26,"")</f>
        <v/>
      </c>
      <c r="BO32" s="567">
        <f>IF(AND(Projects!$C$26&lt;=BO$4,BO$4&lt;=Projects!$C$26+Projects!$D$26-1),Projects!$B$26/Projects!$D$26,"")</f>
        <v/>
      </c>
      <c r="BP32" s="567">
        <f>IF(AND(Projects!$C$26&lt;=BP$4,BP$4&lt;=Projects!$C$26+Projects!$D$26-1),Projects!$B$26/Projects!$D$26,"")</f>
        <v/>
      </c>
      <c r="BQ32" s="567">
        <f>IF(AND(Projects!$C$26&lt;=BQ$4,BQ$4&lt;=Projects!$C$26+Projects!$D$26-1),Projects!$B$26/Projects!$D$26,"")</f>
        <v/>
      </c>
      <c r="BR32" s="567">
        <f>IF(AND(Projects!$C$26&lt;=BR$4,BR$4&lt;=Projects!$C$26+Projects!$D$26-1),Projects!$B$26/Projects!$D$26,"")</f>
        <v/>
      </c>
      <c r="BS32" s="567">
        <f>IF(AND(Projects!$C$26&lt;=BS$4,BS$4&lt;=Projects!$C$26+Projects!$D$26-1),Projects!$B$26/Projects!$D$26,"")</f>
        <v/>
      </c>
      <c r="BT32" s="567">
        <f>IF(AND(Projects!$C$26&lt;=BT$4,BT$4&lt;=Projects!$C$26+Projects!$D$26-1),Projects!$B$26/Projects!$D$26,"")</f>
        <v/>
      </c>
      <c r="BU32" s="567">
        <f>IF(AND(Projects!$C$26&lt;=BU$4,BU$4&lt;=Projects!$C$26+Projects!$D$26-1),Projects!$B$26/Projects!$D$26,"")</f>
        <v/>
      </c>
      <c r="BV32" s="567">
        <f>IF(AND(Projects!$C$26&lt;=BV$4,BV$4&lt;=Projects!$C$26+Projects!$D$26-1),Projects!$B$26/Projects!$D$26,"")</f>
        <v/>
      </c>
      <c r="BW32" s="567">
        <f>IF(AND(Projects!$C$26&lt;=BW$4,BW$4&lt;=Projects!$C$26+Projects!$D$26-1),Projects!$B$26/Projects!$D$26,"")</f>
        <v/>
      </c>
      <c r="BX32" s="567">
        <f>IF(AND(Projects!$C$26&lt;=BX$4,BX$4&lt;=Projects!$C$26+Projects!$D$26-1),Projects!$B$26/Projects!$D$26,"")</f>
        <v/>
      </c>
      <c r="BY32" s="567">
        <f>IF(AND(Projects!$C$26&lt;=BY$4,BY$4&lt;=Projects!$C$26+Projects!$D$26-1),Projects!$B$26/Projects!$D$26,"")</f>
        <v/>
      </c>
      <c r="BZ32" s="567">
        <f>IF(AND(Projects!$C$26&lt;=BZ$4,BZ$4&lt;=Projects!$C$26+Projects!$D$26-1),Projects!$B$26/Projects!$D$26,"")</f>
        <v/>
      </c>
      <c r="CA32" s="567">
        <f>IF(AND(Projects!$C$26&lt;=CA$4,CA$4&lt;=Projects!$C$26+Projects!$D$26-1),Projects!$B$26/Projects!$D$26,"")</f>
        <v/>
      </c>
      <c r="CB32" s="567">
        <f>IF(AND(Projects!$C$26&lt;=CB$4,CB$4&lt;=Projects!$C$26+Projects!$D$26-1),Projects!$B$26/Projects!$D$26,"")</f>
        <v/>
      </c>
      <c r="CC32" s="567">
        <f>IF(AND(Projects!$C$26&lt;=CC$4,CC$4&lt;=Projects!$C$26+Projects!$D$26-1),Projects!$B$26/Projects!$D$26,"")</f>
        <v/>
      </c>
      <c r="CD32" s="567">
        <f>IF(AND(Projects!$C$26&lt;=CD$4,CD$4&lt;=Projects!$C$26+Projects!$D$26-1),Projects!$B$26/Projects!$D$26,"")</f>
        <v/>
      </c>
      <c r="CE32" s="567">
        <f>IF(AND(Projects!$C$26&lt;=CE$4,CE$4&lt;=Projects!$C$26+Projects!$D$26-1),Projects!$B$26/Projects!$D$26,"")</f>
        <v/>
      </c>
      <c r="CF32" s="567">
        <f>IF(AND(Projects!$C$26&lt;=CF$4,CF$4&lt;=Projects!$C$26+Projects!$D$26-1),Projects!$B$26/Projects!$D$26,"")</f>
        <v/>
      </c>
      <c r="CG32" s="567">
        <f>IF(AND(Projects!$C$26&lt;=CG$4,CG$4&lt;=Projects!$C$26+Projects!$D$26-1),Projects!$B$26/Projects!$D$26,"")</f>
        <v/>
      </c>
      <c r="CH32" s="567">
        <f>IF(AND(Projects!$C$26&lt;=CH$4,CH$4&lt;=Projects!$C$26+Projects!$D$26-1),Projects!$B$26/Projects!$D$26,"")</f>
        <v/>
      </c>
      <c r="CI32" s="567">
        <f>IF(AND(Projects!$C$26&lt;=CI$4,CI$4&lt;=Projects!$C$26+Projects!$D$26-1),Projects!$B$26/Projects!$D$26,"")</f>
        <v/>
      </c>
      <c r="CJ32" s="567">
        <f>IF(AND(Projects!$C$26&lt;=CJ$4,CJ$4&lt;=Projects!$C$26+Projects!$D$26-1),Projects!$B$26/Projects!$D$26,"")</f>
        <v/>
      </c>
      <c r="CK32" s="567">
        <f>IF(AND(Projects!$C$26&lt;=CK$4,CK$4&lt;=Projects!$C$26+Projects!$D$26-1),Projects!$B$26/Projects!$D$26,"")</f>
        <v/>
      </c>
      <c r="CL32" s="567">
        <f>IF(AND(Projects!$C$26&lt;=CL$4,CL$4&lt;=Projects!$C$26+Projects!$D$26-1),Projects!$B$26/Projects!$D$26,"")</f>
        <v/>
      </c>
      <c r="CM32" s="567">
        <f>IF(AND(Projects!$C$26&lt;=CM$4,CM$4&lt;=Projects!$C$26+Projects!$D$26-1),Projects!$B$26/Projects!$D$26,"")</f>
        <v/>
      </c>
      <c r="CN32" s="567">
        <f>IF(AND(Projects!$C$26&lt;=CN$4,CN$4&lt;=Projects!$C$26+Projects!$D$26-1),Projects!$B$26/Projects!$D$26,"")</f>
        <v/>
      </c>
      <c r="CO32" s="567">
        <f>IF(AND(Projects!$C$26&lt;=CO$4,CO$4&lt;=Projects!$C$26+Projects!$D$26-1),Projects!$B$26/Projects!$D$26,"")</f>
        <v/>
      </c>
      <c r="CP32" s="567">
        <f>IF(AND(Projects!$C$26&lt;=CP$4,CP$4&lt;=Projects!$C$26+Projects!$D$26-1),Projects!$B$26/Projects!$D$26,"")</f>
        <v/>
      </c>
      <c r="CQ32" s="567">
        <f>IF(AND(Projects!$C$26&lt;=CQ$4,CQ$4&lt;=Projects!$C$26+Projects!$D$26-1),Projects!$B$26/Projects!$D$26,"")</f>
        <v/>
      </c>
      <c r="CR32" s="567">
        <f>IF(AND(Projects!$C$26&lt;=CR$4,CR$4&lt;=Projects!$C$26+Projects!$D$26-1),Projects!$B$26/Projects!$D$26,"")</f>
        <v/>
      </c>
      <c r="CS32" s="567">
        <f>IF(AND(Projects!$C$26&lt;=CS$4,CS$4&lt;=Projects!$C$26+Projects!$D$26-1),Projects!$B$26/Projects!$D$26,"")</f>
        <v/>
      </c>
      <c r="CT32" s="567">
        <f>IF(AND(Projects!$C$26&lt;=CT$4,CT$4&lt;=Projects!$C$26+Projects!$D$26-1),Projects!$B$26/Projects!$D$26,"")</f>
        <v/>
      </c>
      <c r="CU32" s="567">
        <f>IF(AND(Projects!$C$26&lt;=CU$4,CU$4&lt;=Projects!$C$26+Projects!$D$26-1),Projects!$B$26/Projects!$D$26,"")</f>
        <v/>
      </c>
      <c r="CV32" s="567">
        <f>IF(AND(Projects!$C$26&lt;=CV$4,CV$4&lt;=Projects!$C$26+Projects!$D$26-1),Projects!$B$26/Projects!$D$26,"")</f>
        <v/>
      </c>
      <c r="CW32" s="567">
        <f>IF(AND(Projects!$C$26&lt;=CW$4,CW$4&lt;=Projects!$C$26+Projects!$D$26-1),Projects!$B$26/Projects!$D$26,"")</f>
        <v/>
      </c>
      <c r="CX32" s="567">
        <f>IF(AND(Projects!$C$26&lt;=CX$4,CX$4&lt;=Projects!$C$26+Projects!$D$26-1),Projects!$B$26/Projects!$D$26,"")</f>
        <v/>
      </c>
      <c r="CY32" s="567">
        <f>IF(AND(Projects!$C$26&lt;=CY$4,CY$4&lt;=Projects!$C$26+Projects!$D$26-1),Projects!$B$26/Projects!$D$26,"")</f>
        <v/>
      </c>
      <c r="CZ32" s="567">
        <f>IF(AND(Projects!$C$26&lt;=CZ$4,CZ$4&lt;=Projects!$C$26+Projects!$D$26-1),Projects!$B$26/Projects!$D$26,"")</f>
        <v/>
      </c>
      <c r="DA32" s="567">
        <f>IF(AND(Projects!$C$26&lt;=DA$4,DA$4&lt;=Projects!$C$26+Projects!$D$26-1),Projects!$B$26/Projects!$D$26,"")</f>
        <v/>
      </c>
      <c r="DB32" s="567">
        <f>IF(AND(Projects!$C$26&lt;=DB$4,DB$4&lt;=Projects!$C$26+Projects!$D$26-1),Projects!$B$26/Projects!$D$26,"")</f>
        <v/>
      </c>
    </row>
    <row r="33" ht="15" customFormat="1" customHeight="1" s="380">
      <c r="A33" s="563" t="inlineStr">
        <is>
          <t>BD-11</t>
        </is>
      </c>
      <c r="B33" s="564">
        <f>Projects!$B$27</f>
        <v/>
      </c>
      <c r="C33" s="565">
        <f>EDATE(Model!$E$2,Projects!$C$27-1)</f>
        <v/>
      </c>
      <c r="D33" s="565">
        <f>EDATE(Model!$E$2,Projects!$C$27+Projects!$D$27-2)</f>
        <v/>
      </c>
      <c r="E33" s="566">
        <f>Projects!$D$27</f>
        <v/>
      </c>
      <c r="F33" s="564">
        <f>Projects!$B$27/Projects!$D$27</f>
        <v/>
      </c>
      <c r="G33" s="567">
        <f>IF(AND(Projects!$C$27&lt;=G$4,G$4&lt;=Projects!$C$27+Projects!$D$27-1),Projects!$B$27/Projects!$D$27,"")</f>
        <v/>
      </c>
      <c r="H33" s="567">
        <f>IF(AND(Projects!$C$27&lt;=H$4,H$4&lt;=Projects!$C$27+Projects!$D$27-1),Projects!$B$27/Projects!$D$27,"")</f>
        <v/>
      </c>
      <c r="I33" s="567">
        <f>IF(AND(Projects!$C$27&lt;=I$4,I$4&lt;=Projects!$C$27+Projects!$D$27-1),Projects!$B$27/Projects!$D$27,"")</f>
        <v/>
      </c>
      <c r="J33" s="567">
        <f>IF(AND(Projects!$C$27&lt;=J$4,J$4&lt;=Projects!$C$27+Projects!$D$27-1),Projects!$B$27/Projects!$D$27,"")</f>
        <v/>
      </c>
      <c r="K33" s="567">
        <f>IF(AND(Projects!$C$27&lt;=K$4,K$4&lt;=Projects!$C$27+Projects!$D$27-1),Projects!$B$27/Projects!$D$27,"")</f>
        <v/>
      </c>
      <c r="L33" s="567">
        <f>IF(AND(Projects!$C$27&lt;=L$4,L$4&lt;=Projects!$C$27+Projects!$D$27-1),Projects!$B$27/Projects!$D$27,"")</f>
        <v/>
      </c>
      <c r="M33" s="567">
        <f>IF(AND(Projects!$C$27&lt;=M$4,M$4&lt;=Projects!$C$27+Projects!$D$27-1),Projects!$B$27/Projects!$D$27,"")</f>
        <v/>
      </c>
      <c r="N33" s="567">
        <f>IF(AND(Projects!$C$27&lt;=N$4,N$4&lt;=Projects!$C$27+Projects!$D$27-1),Projects!$B$27/Projects!$D$27,"")</f>
        <v/>
      </c>
      <c r="O33" s="567">
        <f>IF(AND(Projects!$C$27&lt;=O$4,O$4&lt;=Projects!$C$27+Projects!$D$27-1),Projects!$B$27/Projects!$D$27,"")</f>
        <v/>
      </c>
      <c r="P33" s="567">
        <f>IF(AND(Projects!$C$27&lt;=P$4,P$4&lt;=Projects!$C$27+Projects!$D$27-1),Projects!$B$27/Projects!$D$27,"")</f>
        <v/>
      </c>
      <c r="Q33" s="567">
        <f>IF(AND(Projects!$C$27&lt;=Q$4,Q$4&lt;=Projects!$C$27+Projects!$D$27-1),Projects!$B$27/Projects!$D$27,"")</f>
        <v/>
      </c>
      <c r="R33" s="567">
        <f>IF(AND(Projects!$C$27&lt;=R$4,R$4&lt;=Projects!$C$27+Projects!$D$27-1),Projects!$B$27/Projects!$D$27,"")</f>
        <v/>
      </c>
      <c r="S33" s="567">
        <f>IF(AND(Projects!$C$27&lt;=S$4,S$4&lt;=Projects!$C$27+Projects!$D$27-1),Projects!$B$27/Projects!$D$27,"")</f>
        <v/>
      </c>
      <c r="T33" s="567">
        <f>IF(AND(Projects!$C$27&lt;=T$4,T$4&lt;=Projects!$C$27+Projects!$D$27-1),Projects!$B$27/Projects!$D$27,"")</f>
        <v/>
      </c>
      <c r="U33" s="567">
        <f>IF(AND(Projects!$C$27&lt;=U$4,U$4&lt;=Projects!$C$27+Projects!$D$27-1),Projects!$B$27/Projects!$D$27,"")</f>
        <v/>
      </c>
      <c r="V33" s="567">
        <f>IF(AND(Projects!$C$27&lt;=V$4,V$4&lt;=Projects!$C$27+Projects!$D$27-1),Projects!$B$27/Projects!$D$27,"")</f>
        <v/>
      </c>
      <c r="W33" s="567">
        <f>IF(AND(Projects!$C$27&lt;=W$4,W$4&lt;=Projects!$C$27+Projects!$D$27-1),Projects!$B$27/Projects!$D$27,"")</f>
        <v/>
      </c>
      <c r="X33" s="567">
        <f>IF(AND(Projects!$C$27&lt;=X$4,X$4&lt;=Projects!$C$27+Projects!$D$27-1),Projects!$B$27/Projects!$D$27,"")</f>
        <v/>
      </c>
      <c r="Y33" s="567">
        <f>IF(AND(Projects!$C$27&lt;=Y$4,Y$4&lt;=Projects!$C$27+Projects!$D$27-1),Projects!$B$27/Projects!$D$27,"")</f>
        <v/>
      </c>
      <c r="Z33" s="567">
        <f>IF(AND(Projects!$C$27&lt;=Z$4,Z$4&lt;=Projects!$C$27+Projects!$D$27-1),Projects!$B$27/Projects!$D$27,"")</f>
        <v/>
      </c>
      <c r="AA33" s="567">
        <f>IF(AND(Projects!$C$27&lt;=AA$4,AA$4&lt;=Projects!$C$27+Projects!$D$27-1),Projects!$B$27/Projects!$D$27,"")</f>
        <v/>
      </c>
      <c r="AB33" s="567">
        <f>IF(AND(Projects!$C$27&lt;=AB$4,AB$4&lt;=Projects!$C$27+Projects!$D$27-1),Projects!$B$27/Projects!$D$27,"")</f>
        <v/>
      </c>
      <c r="AC33" s="567">
        <f>IF(AND(Projects!$C$27&lt;=AC$4,AC$4&lt;=Projects!$C$27+Projects!$D$27-1),Projects!$B$27/Projects!$D$27,"")</f>
        <v/>
      </c>
      <c r="AD33" s="567">
        <f>IF(AND(Projects!$C$27&lt;=AD$4,AD$4&lt;=Projects!$C$27+Projects!$D$27-1),Projects!$B$27/Projects!$D$27,"")</f>
        <v/>
      </c>
      <c r="AE33" s="567">
        <f>IF(AND(Projects!$C$27&lt;=AE$4,AE$4&lt;=Projects!$C$27+Projects!$D$27-1),Projects!$B$27/Projects!$D$27,"")</f>
        <v/>
      </c>
      <c r="AF33" s="567">
        <f>IF(AND(Projects!$C$27&lt;=AF$4,AF$4&lt;=Projects!$C$27+Projects!$D$27-1),Projects!$B$27/Projects!$D$27,"")</f>
        <v/>
      </c>
      <c r="AG33" s="567">
        <f>IF(AND(Projects!$C$27&lt;=AG$4,AG$4&lt;=Projects!$C$27+Projects!$D$27-1),Projects!$B$27/Projects!$D$27,"")</f>
        <v/>
      </c>
      <c r="AH33" s="567">
        <f>IF(AND(Projects!$C$27&lt;=AH$4,AH$4&lt;=Projects!$C$27+Projects!$D$27-1),Projects!$B$27/Projects!$D$27,"")</f>
        <v/>
      </c>
      <c r="AI33" s="567">
        <f>IF(AND(Projects!$C$27&lt;=AI$4,AI$4&lt;=Projects!$C$27+Projects!$D$27-1),Projects!$B$27/Projects!$D$27,"")</f>
        <v/>
      </c>
      <c r="AJ33" s="567">
        <f>IF(AND(Projects!$C$27&lt;=AJ$4,AJ$4&lt;=Projects!$C$27+Projects!$D$27-1),Projects!$B$27/Projects!$D$27,"")</f>
        <v/>
      </c>
      <c r="AK33" s="567">
        <f>IF(AND(Projects!$C$27&lt;=AK$4,AK$4&lt;=Projects!$C$27+Projects!$D$27-1),Projects!$B$27/Projects!$D$27,"")</f>
        <v/>
      </c>
      <c r="AL33" s="567">
        <f>IF(AND(Projects!$C$27&lt;=AL$4,AL$4&lt;=Projects!$C$27+Projects!$D$27-1),Projects!$B$27/Projects!$D$27,"")</f>
        <v/>
      </c>
      <c r="AM33" s="567">
        <f>IF(AND(Projects!$C$27&lt;=AM$4,AM$4&lt;=Projects!$C$27+Projects!$D$27-1),Projects!$B$27/Projects!$D$27,"")</f>
        <v/>
      </c>
      <c r="AN33" s="567">
        <f>IF(AND(Projects!$C$27&lt;=AN$4,AN$4&lt;=Projects!$C$27+Projects!$D$27-1),Projects!$B$27/Projects!$D$27,"")</f>
        <v/>
      </c>
      <c r="AO33" s="567">
        <f>IF(AND(Projects!$C$27&lt;=AO$4,AO$4&lt;=Projects!$C$27+Projects!$D$27-1),Projects!$B$27/Projects!$D$27,"")</f>
        <v/>
      </c>
      <c r="AP33" s="567">
        <f>IF(AND(Projects!$C$27&lt;=AP$4,AP$4&lt;=Projects!$C$27+Projects!$D$27-1),Projects!$B$27/Projects!$D$27,"")</f>
        <v/>
      </c>
      <c r="AQ33" s="567">
        <f>IF(AND(Projects!$C$27&lt;=AQ$4,AQ$4&lt;=Projects!$C$27+Projects!$D$27-1),Projects!$B$27/Projects!$D$27,"")</f>
        <v/>
      </c>
      <c r="AR33" s="567">
        <f>IF(AND(Projects!$C$27&lt;=AR$4,AR$4&lt;=Projects!$C$27+Projects!$D$27-1),Projects!$B$27/Projects!$D$27,"")</f>
        <v/>
      </c>
      <c r="AS33" s="567">
        <f>IF(AND(Projects!$C$27&lt;=AS$4,AS$4&lt;=Projects!$C$27+Projects!$D$27-1),Projects!$B$27/Projects!$D$27,"")</f>
        <v/>
      </c>
      <c r="AT33" s="567">
        <f>IF(AND(Projects!$C$27&lt;=AT$4,AT$4&lt;=Projects!$C$27+Projects!$D$27-1),Projects!$B$27/Projects!$D$27,"")</f>
        <v/>
      </c>
      <c r="AU33" s="567">
        <f>IF(AND(Projects!$C$27&lt;=AU$4,AU$4&lt;=Projects!$C$27+Projects!$D$27-1),Projects!$B$27/Projects!$D$27,"")</f>
        <v/>
      </c>
      <c r="AV33" s="567">
        <f>IF(AND(Projects!$C$27&lt;=AV$4,AV$4&lt;=Projects!$C$27+Projects!$D$27-1),Projects!$B$27/Projects!$D$27,"")</f>
        <v/>
      </c>
      <c r="AW33" s="567">
        <f>IF(AND(Projects!$C$27&lt;=AW$4,AW$4&lt;=Projects!$C$27+Projects!$D$27-1),Projects!$B$27/Projects!$D$27,"")</f>
        <v/>
      </c>
      <c r="AX33" s="567">
        <f>IF(AND(Projects!$C$27&lt;=AX$4,AX$4&lt;=Projects!$C$27+Projects!$D$27-1),Projects!$B$27/Projects!$D$27,"")</f>
        <v/>
      </c>
      <c r="AY33" s="567">
        <f>IF(AND(Projects!$C$27&lt;=AY$4,AY$4&lt;=Projects!$C$27+Projects!$D$27-1),Projects!$B$27/Projects!$D$27,"")</f>
        <v/>
      </c>
      <c r="AZ33" s="567">
        <f>IF(AND(Projects!$C$27&lt;=AZ$4,AZ$4&lt;=Projects!$C$27+Projects!$D$27-1),Projects!$B$27/Projects!$D$27,"")</f>
        <v/>
      </c>
      <c r="BA33" s="567">
        <f>IF(AND(Projects!$C$27&lt;=BA$4,BA$4&lt;=Projects!$C$27+Projects!$D$27-1),Projects!$B$27/Projects!$D$27,"")</f>
        <v/>
      </c>
      <c r="BB33" s="567">
        <f>IF(AND(Projects!$C$27&lt;=BB$4,BB$4&lt;=Projects!$C$27+Projects!$D$27-1),Projects!$B$27/Projects!$D$27,"")</f>
        <v/>
      </c>
      <c r="BC33" s="567">
        <f>IF(AND(Projects!$C$27&lt;=BC$4,BC$4&lt;=Projects!$C$27+Projects!$D$27-1),Projects!$B$27/Projects!$D$27,"")</f>
        <v/>
      </c>
      <c r="BD33" s="567">
        <f>IF(AND(Projects!$C$27&lt;=BD$4,BD$4&lt;=Projects!$C$27+Projects!$D$27-1),Projects!$B$27/Projects!$D$27,"")</f>
        <v/>
      </c>
      <c r="BE33" s="567">
        <f>IF(AND(Projects!$C$27&lt;=BE$4,BE$4&lt;=Projects!$C$27+Projects!$D$27-1),Projects!$B$27/Projects!$D$27,"")</f>
        <v/>
      </c>
      <c r="BF33" s="567">
        <f>IF(AND(Projects!$C$27&lt;=BF$4,BF$4&lt;=Projects!$C$27+Projects!$D$27-1),Projects!$B$27/Projects!$D$27,"")</f>
        <v/>
      </c>
      <c r="BG33" s="567">
        <f>IF(AND(Projects!$C$27&lt;=BG$4,BG$4&lt;=Projects!$C$27+Projects!$D$27-1),Projects!$B$27/Projects!$D$27,"")</f>
        <v/>
      </c>
      <c r="BH33" s="567">
        <f>IF(AND(Projects!$C$27&lt;=BH$4,BH$4&lt;=Projects!$C$27+Projects!$D$27-1),Projects!$B$27/Projects!$D$27,"")</f>
        <v/>
      </c>
      <c r="BI33" s="567">
        <f>IF(AND(Projects!$C$27&lt;=BI$4,BI$4&lt;=Projects!$C$27+Projects!$D$27-1),Projects!$B$27/Projects!$D$27,"")</f>
        <v/>
      </c>
      <c r="BJ33" s="567">
        <f>IF(AND(Projects!$C$27&lt;=BJ$4,BJ$4&lt;=Projects!$C$27+Projects!$D$27-1),Projects!$B$27/Projects!$D$27,"")</f>
        <v/>
      </c>
      <c r="BK33" s="567">
        <f>IF(AND(Projects!$C$27&lt;=BK$4,BK$4&lt;=Projects!$C$27+Projects!$D$27-1),Projects!$B$27/Projects!$D$27,"")</f>
        <v/>
      </c>
      <c r="BL33" s="567">
        <f>IF(AND(Projects!$C$27&lt;=BL$4,BL$4&lt;=Projects!$C$27+Projects!$D$27-1),Projects!$B$27/Projects!$D$27,"")</f>
        <v/>
      </c>
      <c r="BM33" s="567">
        <f>IF(AND(Projects!$C$27&lt;=BM$4,BM$4&lt;=Projects!$C$27+Projects!$D$27-1),Projects!$B$27/Projects!$D$27,"")</f>
        <v/>
      </c>
      <c r="BN33" s="567">
        <f>IF(AND(Projects!$C$27&lt;=BN$4,BN$4&lt;=Projects!$C$27+Projects!$D$27-1),Projects!$B$27/Projects!$D$27,"")</f>
        <v/>
      </c>
      <c r="BO33" s="567">
        <f>IF(AND(Projects!$C$27&lt;=BO$4,BO$4&lt;=Projects!$C$27+Projects!$D$27-1),Projects!$B$27/Projects!$D$27,"")</f>
        <v/>
      </c>
      <c r="BP33" s="567">
        <f>IF(AND(Projects!$C$27&lt;=BP$4,BP$4&lt;=Projects!$C$27+Projects!$D$27-1),Projects!$B$27/Projects!$D$27,"")</f>
        <v/>
      </c>
      <c r="BQ33" s="567">
        <f>IF(AND(Projects!$C$27&lt;=BQ$4,BQ$4&lt;=Projects!$C$27+Projects!$D$27-1),Projects!$B$27/Projects!$D$27,"")</f>
        <v/>
      </c>
      <c r="BR33" s="567">
        <f>IF(AND(Projects!$C$27&lt;=BR$4,BR$4&lt;=Projects!$C$27+Projects!$D$27-1),Projects!$B$27/Projects!$D$27,"")</f>
        <v/>
      </c>
      <c r="BS33" s="567">
        <f>IF(AND(Projects!$C$27&lt;=BS$4,BS$4&lt;=Projects!$C$27+Projects!$D$27-1),Projects!$B$27/Projects!$D$27,"")</f>
        <v/>
      </c>
      <c r="BT33" s="567">
        <f>IF(AND(Projects!$C$27&lt;=BT$4,BT$4&lt;=Projects!$C$27+Projects!$D$27-1),Projects!$B$27/Projects!$D$27,"")</f>
        <v/>
      </c>
      <c r="BU33" s="567">
        <f>IF(AND(Projects!$C$27&lt;=BU$4,BU$4&lt;=Projects!$C$27+Projects!$D$27-1),Projects!$B$27/Projects!$D$27,"")</f>
        <v/>
      </c>
      <c r="BV33" s="567">
        <f>IF(AND(Projects!$C$27&lt;=BV$4,BV$4&lt;=Projects!$C$27+Projects!$D$27-1),Projects!$B$27/Projects!$D$27,"")</f>
        <v/>
      </c>
      <c r="BW33" s="567">
        <f>IF(AND(Projects!$C$27&lt;=BW$4,BW$4&lt;=Projects!$C$27+Projects!$D$27-1),Projects!$B$27/Projects!$D$27,"")</f>
        <v/>
      </c>
      <c r="BX33" s="567">
        <f>IF(AND(Projects!$C$27&lt;=BX$4,BX$4&lt;=Projects!$C$27+Projects!$D$27-1),Projects!$B$27/Projects!$D$27,"")</f>
        <v/>
      </c>
      <c r="BY33" s="567">
        <f>IF(AND(Projects!$C$27&lt;=BY$4,BY$4&lt;=Projects!$C$27+Projects!$D$27-1),Projects!$B$27/Projects!$D$27,"")</f>
        <v/>
      </c>
      <c r="BZ33" s="567">
        <f>IF(AND(Projects!$C$27&lt;=BZ$4,BZ$4&lt;=Projects!$C$27+Projects!$D$27-1),Projects!$B$27/Projects!$D$27,"")</f>
        <v/>
      </c>
      <c r="CA33" s="567">
        <f>IF(AND(Projects!$C$27&lt;=CA$4,CA$4&lt;=Projects!$C$27+Projects!$D$27-1),Projects!$B$27/Projects!$D$27,"")</f>
        <v/>
      </c>
      <c r="CB33" s="567">
        <f>IF(AND(Projects!$C$27&lt;=CB$4,CB$4&lt;=Projects!$C$27+Projects!$D$27-1),Projects!$B$27/Projects!$D$27,"")</f>
        <v/>
      </c>
      <c r="CC33" s="567">
        <f>IF(AND(Projects!$C$27&lt;=CC$4,CC$4&lt;=Projects!$C$27+Projects!$D$27-1),Projects!$B$27/Projects!$D$27,"")</f>
        <v/>
      </c>
      <c r="CD33" s="567">
        <f>IF(AND(Projects!$C$27&lt;=CD$4,CD$4&lt;=Projects!$C$27+Projects!$D$27-1),Projects!$B$27/Projects!$D$27,"")</f>
        <v/>
      </c>
      <c r="CE33" s="567">
        <f>IF(AND(Projects!$C$27&lt;=CE$4,CE$4&lt;=Projects!$C$27+Projects!$D$27-1),Projects!$B$27/Projects!$D$27,"")</f>
        <v/>
      </c>
      <c r="CF33" s="567">
        <f>IF(AND(Projects!$C$27&lt;=CF$4,CF$4&lt;=Projects!$C$27+Projects!$D$27-1),Projects!$B$27/Projects!$D$27,"")</f>
        <v/>
      </c>
      <c r="CG33" s="567">
        <f>IF(AND(Projects!$C$27&lt;=CG$4,CG$4&lt;=Projects!$C$27+Projects!$D$27-1),Projects!$B$27/Projects!$D$27,"")</f>
        <v/>
      </c>
      <c r="CH33" s="567">
        <f>IF(AND(Projects!$C$27&lt;=CH$4,CH$4&lt;=Projects!$C$27+Projects!$D$27-1),Projects!$B$27/Projects!$D$27,"")</f>
        <v/>
      </c>
      <c r="CI33" s="567">
        <f>IF(AND(Projects!$C$27&lt;=CI$4,CI$4&lt;=Projects!$C$27+Projects!$D$27-1),Projects!$B$27/Projects!$D$27,"")</f>
        <v/>
      </c>
      <c r="CJ33" s="567">
        <f>IF(AND(Projects!$C$27&lt;=CJ$4,CJ$4&lt;=Projects!$C$27+Projects!$D$27-1),Projects!$B$27/Projects!$D$27,"")</f>
        <v/>
      </c>
      <c r="CK33" s="567">
        <f>IF(AND(Projects!$C$27&lt;=CK$4,CK$4&lt;=Projects!$C$27+Projects!$D$27-1),Projects!$B$27/Projects!$D$27,"")</f>
        <v/>
      </c>
      <c r="CL33" s="567">
        <f>IF(AND(Projects!$C$27&lt;=CL$4,CL$4&lt;=Projects!$C$27+Projects!$D$27-1),Projects!$B$27/Projects!$D$27,"")</f>
        <v/>
      </c>
      <c r="CM33" s="567">
        <f>IF(AND(Projects!$C$27&lt;=CM$4,CM$4&lt;=Projects!$C$27+Projects!$D$27-1),Projects!$B$27/Projects!$D$27,"")</f>
        <v/>
      </c>
      <c r="CN33" s="567">
        <f>IF(AND(Projects!$C$27&lt;=CN$4,CN$4&lt;=Projects!$C$27+Projects!$D$27-1),Projects!$B$27/Projects!$D$27,"")</f>
        <v/>
      </c>
      <c r="CO33" s="567">
        <f>IF(AND(Projects!$C$27&lt;=CO$4,CO$4&lt;=Projects!$C$27+Projects!$D$27-1),Projects!$B$27/Projects!$D$27,"")</f>
        <v/>
      </c>
      <c r="CP33" s="567">
        <f>IF(AND(Projects!$C$27&lt;=CP$4,CP$4&lt;=Projects!$C$27+Projects!$D$27-1),Projects!$B$27/Projects!$D$27,"")</f>
        <v/>
      </c>
      <c r="CQ33" s="567">
        <f>IF(AND(Projects!$C$27&lt;=CQ$4,CQ$4&lt;=Projects!$C$27+Projects!$D$27-1),Projects!$B$27/Projects!$D$27,"")</f>
        <v/>
      </c>
      <c r="CR33" s="567">
        <f>IF(AND(Projects!$C$27&lt;=CR$4,CR$4&lt;=Projects!$C$27+Projects!$D$27-1),Projects!$B$27/Projects!$D$27,"")</f>
        <v/>
      </c>
      <c r="CS33" s="567">
        <f>IF(AND(Projects!$C$27&lt;=CS$4,CS$4&lt;=Projects!$C$27+Projects!$D$27-1),Projects!$B$27/Projects!$D$27,"")</f>
        <v/>
      </c>
      <c r="CT33" s="567">
        <f>IF(AND(Projects!$C$27&lt;=CT$4,CT$4&lt;=Projects!$C$27+Projects!$D$27-1),Projects!$B$27/Projects!$D$27,"")</f>
        <v/>
      </c>
      <c r="CU33" s="567">
        <f>IF(AND(Projects!$C$27&lt;=CU$4,CU$4&lt;=Projects!$C$27+Projects!$D$27-1),Projects!$B$27/Projects!$D$27,"")</f>
        <v/>
      </c>
      <c r="CV33" s="567">
        <f>IF(AND(Projects!$C$27&lt;=CV$4,CV$4&lt;=Projects!$C$27+Projects!$D$27-1),Projects!$B$27/Projects!$D$27,"")</f>
        <v/>
      </c>
      <c r="CW33" s="567">
        <f>IF(AND(Projects!$C$27&lt;=CW$4,CW$4&lt;=Projects!$C$27+Projects!$D$27-1),Projects!$B$27/Projects!$D$27,"")</f>
        <v/>
      </c>
      <c r="CX33" s="567">
        <f>IF(AND(Projects!$C$27&lt;=CX$4,CX$4&lt;=Projects!$C$27+Projects!$D$27-1),Projects!$B$27/Projects!$D$27,"")</f>
        <v/>
      </c>
      <c r="CY33" s="567">
        <f>IF(AND(Projects!$C$27&lt;=CY$4,CY$4&lt;=Projects!$C$27+Projects!$D$27-1),Projects!$B$27/Projects!$D$27,"")</f>
        <v/>
      </c>
      <c r="CZ33" s="567">
        <f>IF(AND(Projects!$C$27&lt;=CZ$4,CZ$4&lt;=Projects!$C$27+Projects!$D$27-1),Projects!$B$27/Projects!$D$27,"")</f>
        <v/>
      </c>
      <c r="DA33" s="567">
        <f>IF(AND(Projects!$C$27&lt;=DA$4,DA$4&lt;=Projects!$C$27+Projects!$D$27-1),Projects!$B$27/Projects!$D$27,"")</f>
        <v/>
      </c>
      <c r="DB33" s="567">
        <f>IF(AND(Projects!$C$27&lt;=DB$4,DB$4&lt;=Projects!$C$27+Projects!$D$27-1),Projects!$B$27/Projects!$D$27,"")</f>
        <v/>
      </c>
    </row>
    <row r="34" ht="15" customFormat="1" customHeight="1" s="380">
      <c r="A34" s="563" t="inlineStr">
        <is>
          <t>BD-12</t>
        </is>
      </c>
      <c r="B34" s="564">
        <f>Projects!$B$28</f>
        <v/>
      </c>
      <c r="C34" s="565">
        <f>EDATE(Model!$E$2,Projects!$C$28-1)</f>
        <v/>
      </c>
      <c r="D34" s="565">
        <f>EDATE(Model!$E$2,Projects!$C$28+Projects!$D$28-2)</f>
        <v/>
      </c>
      <c r="E34" s="566">
        <f>Projects!$D$28</f>
        <v/>
      </c>
      <c r="F34" s="564">
        <f>Projects!$B$28/Projects!$D$28</f>
        <v/>
      </c>
      <c r="G34" s="567">
        <f>IF(AND(Projects!$C$28&lt;=G$4,G$4&lt;=Projects!$C$28+Projects!$D$28-1),Projects!$B$28/Projects!$D$28,"")</f>
        <v/>
      </c>
      <c r="H34" s="567">
        <f>IF(AND(Projects!$C$28&lt;=H$4,H$4&lt;=Projects!$C$28+Projects!$D$28-1),Projects!$B$28/Projects!$D$28,"")</f>
        <v/>
      </c>
      <c r="I34" s="567">
        <f>IF(AND(Projects!$C$28&lt;=I$4,I$4&lt;=Projects!$C$28+Projects!$D$28-1),Projects!$B$28/Projects!$D$28,"")</f>
        <v/>
      </c>
      <c r="J34" s="567">
        <f>IF(AND(Projects!$C$28&lt;=J$4,J$4&lt;=Projects!$C$28+Projects!$D$28-1),Projects!$B$28/Projects!$D$28,"")</f>
        <v/>
      </c>
      <c r="K34" s="567">
        <f>IF(AND(Projects!$C$28&lt;=K$4,K$4&lt;=Projects!$C$28+Projects!$D$28-1),Projects!$B$28/Projects!$D$28,"")</f>
        <v/>
      </c>
      <c r="L34" s="567">
        <f>IF(AND(Projects!$C$28&lt;=L$4,L$4&lt;=Projects!$C$28+Projects!$D$28-1),Projects!$B$28/Projects!$D$28,"")</f>
        <v/>
      </c>
      <c r="M34" s="567">
        <f>IF(AND(Projects!$C$28&lt;=M$4,M$4&lt;=Projects!$C$28+Projects!$D$28-1),Projects!$B$28/Projects!$D$28,"")</f>
        <v/>
      </c>
      <c r="N34" s="567">
        <f>IF(AND(Projects!$C$28&lt;=N$4,N$4&lt;=Projects!$C$28+Projects!$D$28-1),Projects!$B$28/Projects!$D$28,"")</f>
        <v/>
      </c>
      <c r="O34" s="567">
        <f>IF(AND(Projects!$C$28&lt;=O$4,O$4&lt;=Projects!$C$28+Projects!$D$28-1),Projects!$B$28/Projects!$D$28,"")</f>
        <v/>
      </c>
      <c r="P34" s="567">
        <f>IF(AND(Projects!$C$28&lt;=P$4,P$4&lt;=Projects!$C$28+Projects!$D$28-1),Projects!$B$28/Projects!$D$28,"")</f>
        <v/>
      </c>
      <c r="Q34" s="567">
        <f>IF(AND(Projects!$C$28&lt;=Q$4,Q$4&lt;=Projects!$C$28+Projects!$D$28-1),Projects!$B$28/Projects!$D$28,"")</f>
        <v/>
      </c>
      <c r="R34" s="567">
        <f>IF(AND(Projects!$C$28&lt;=R$4,R$4&lt;=Projects!$C$28+Projects!$D$28-1),Projects!$B$28/Projects!$D$28,"")</f>
        <v/>
      </c>
      <c r="S34" s="567">
        <f>IF(AND(Projects!$C$28&lt;=S$4,S$4&lt;=Projects!$C$28+Projects!$D$28-1),Projects!$B$28/Projects!$D$28,"")</f>
        <v/>
      </c>
      <c r="T34" s="567">
        <f>IF(AND(Projects!$C$28&lt;=T$4,T$4&lt;=Projects!$C$28+Projects!$D$28-1),Projects!$B$28/Projects!$D$28,"")</f>
        <v/>
      </c>
      <c r="U34" s="567">
        <f>IF(AND(Projects!$C$28&lt;=U$4,U$4&lt;=Projects!$C$28+Projects!$D$28-1),Projects!$B$28/Projects!$D$28,"")</f>
        <v/>
      </c>
      <c r="V34" s="567">
        <f>IF(AND(Projects!$C$28&lt;=V$4,V$4&lt;=Projects!$C$28+Projects!$D$28-1),Projects!$B$28/Projects!$D$28,"")</f>
        <v/>
      </c>
      <c r="W34" s="567">
        <f>IF(AND(Projects!$C$28&lt;=W$4,W$4&lt;=Projects!$C$28+Projects!$D$28-1),Projects!$B$28/Projects!$D$28,"")</f>
        <v/>
      </c>
      <c r="X34" s="567">
        <f>IF(AND(Projects!$C$28&lt;=X$4,X$4&lt;=Projects!$C$28+Projects!$D$28-1),Projects!$B$28/Projects!$D$28,"")</f>
        <v/>
      </c>
      <c r="Y34" s="567">
        <f>IF(AND(Projects!$C$28&lt;=Y$4,Y$4&lt;=Projects!$C$28+Projects!$D$28-1),Projects!$B$28/Projects!$D$28,"")</f>
        <v/>
      </c>
      <c r="Z34" s="567">
        <f>IF(AND(Projects!$C$28&lt;=Z$4,Z$4&lt;=Projects!$C$28+Projects!$D$28-1),Projects!$B$28/Projects!$D$28,"")</f>
        <v/>
      </c>
      <c r="AA34" s="567">
        <f>IF(AND(Projects!$C$28&lt;=AA$4,AA$4&lt;=Projects!$C$28+Projects!$D$28-1),Projects!$B$28/Projects!$D$28,"")</f>
        <v/>
      </c>
      <c r="AB34" s="567">
        <f>IF(AND(Projects!$C$28&lt;=AB$4,AB$4&lt;=Projects!$C$28+Projects!$D$28-1),Projects!$B$28/Projects!$D$28,"")</f>
        <v/>
      </c>
      <c r="AC34" s="567">
        <f>IF(AND(Projects!$C$28&lt;=AC$4,AC$4&lt;=Projects!$C$28+Projects!$D$28-1),Projects!$B$28/Projects!$D$28,"")</f>
        <v/>
      </c>
      <c r="AD34" s="567">
        <f>IF(AND(Projects!$C$28&lt;=AD$4,AD$4&lt;=Projects!$C$28+Projects!$D$28-1),Projects!$B$28/Projects!$D$28,"")</f>
        <v/>
      </c>
      <c r="AE34" s="567">
        <f>IF(AND(Projects!$C$28&lt;=AE$4,AE$4&lt;=Projects!$C$28+Projects!$D$28-1),Projects!$B$28/Projects!$D$28,"")</f>
        <v/>
      </c>
      <c r="AF34" s="567">
        <f>IF(AND(Projects!$C$28&lt;=AF$4,AF$4&lt;=Projects!$C$28+Projects!$D$28-1),Projects!$B$28/Projects!$D$28,"")</f>
        <v/>
      </c>
      <c r="AG34" s="567">
        <f>IF(AND(Projects!$C$28&lt;=AG$4,AG$4&lt;=Projects!$C$28+Projects!$D$28-1),Projects!$B$28/Projects!$D$28,"")</f>
        <v/>
      </c>
      <c r="AH34" s="567">
        <f>IF(AND(Projects!$C$28&lt;=AH$4,AH$4&lt;=Projects!$C$28+Projects!$D$28-1),Projects!$B$28/Projects!$D$28,"")</f>
        <v/>
      </c>
      <c r="AI34" s="567">
        <f>IF(AND(Projects!$C$28&lt;=AI$4,AI$4&lt;=Projects!$C$28+Projects!$D$28-1),Projects!$B$28/Projects!$D$28,"")</f>
        <v/>
      </c>
      <c r="AJ34" s="567">
        <f>IF(AND(Projects!$C$28&lt;=AJ$4,AJ$4&lt;=Projects!$C$28+Projects!$D$28-1),Projects!$B$28/Projects!$D$28,"")</f>
        <v/>
      </c>
      <c r="AK34" s="567">
        <f>IF(AND(Projects!$C$28&lt;=AK$4,AK$4&lt;=Projects!$C$28+Projects!$D$28-1),Projects!$B$28/Projects!$D$28,"")</f>
        <v/>
      </c>
      <c r="AL34" s="567">
        <f>IF(AND(Projects!$C$28&lt;=AL$4,AL$4&lt;=Projects!$C$28+Projects!$D$28-1),Projects!$B$28/Projects!$D$28,"")</f>
        <v/>
      </c>
      <c r="AM34" s="567">
        <f>IF(AND(Projects!$C$28&lt;=AM$4,AM$4&lt;=Projects!$C$28+Projects!$D$28-1),Projects!$B$28/Projects!$D$28,"")</f>
        <v/>
      </c>
      <c r="AN34" s="567">
        <f>IF(AND(Projects!$C$28&lt;=AN$4,AN$4&lt;=Projects!$C$28+Projects!$D$28-1),Projects!$B$28/Projects!$D$28,"")</f>
        <v/>
      </c>
      <c r="AO34" s="567">
        <f>IF(AND(Projects!$C$28&lt;=AO$4,AO$4&lt;=Projects!$C$28+Projects!$D$28-1),Projects!$B$28/Projects!$D$28,"")</f>
        <v/>
      </c>
      <c r="AP34" s="567">
        <f>IF(AND(Projects!$C$28&lt;=AP$4,AP$4&lt;=Projects!$C$28+Projects!$D$28-1),Projects!$B$28/Projects!$D$28,"")</f>
        <v/>
      </c>
      <c r="AQ34" s="567">
        <f>IF(AND(Projects!$C$28&lt;=AQ$4,AQ$4&lt;=Projects!$C$28+Projects!$D$28-1),Projects!$B$28/Projects!$D$28,"")</f>
        <v/>
      </c>
      <c r="AR34" s="567">
        <f>IF(AND(Projects!$C$28&lt;=AR$4,AR$4&lt;=Projects!$C$28+Projects!$D$28-1),Projects!$B$28/Projects!$D$28,"")</f>
        <v/>
      </c>
      <c r="AS34" s="567">
        <f>IF(AND(Projects!$C$28&lt;=AS$4,AS$4&lt;=Projects!$C$28+Projects!$D$28-1),Projects!$B$28/Projects!$D$28,"")</f>
        <v/>
      </c>
      <c r="AT34" s="567">
        <f>IF(AND(Projects!$C$28&lt;=AT$4,AT$4&lt;=Projects!$C$28+Projects!$D$28-1),Projects!$B$28/Projects!$D$28,"")</f>
        <v/>
      </c>
      <c r="AU34" s="567">
        <f>IF(AND(Projects!$C$28&lt;=AU$4,AU$4&lt;=Projects!$C$28+Projects!$D$28-1),Projects!$B$28/Projects!$D$28,"")</f>
        <v/>
      </c>
      <c r="AV34" s="567">
        <f>IF(AND(Projects!$C$28&lt;=AV$4,AV$4&lt;=Projects!$C$28+Projects!$D$28-1),Projects!$B$28/Projects!$D$28,"")</f>
        <v/>
      </c>
      <c r="AW34" s="567">
        <f>IF(AND(Projects!$C$28&lt;=AW$4,AW$4&lt;=Projects!$C$28+Projects!$D$28-1),Projects!$B$28/Projects!$D$28,"")</f>
        <v/>
      </c>
      <c r="AX34" s="567">
        <f>IF(AND(Projects!$C$28&lt;=AX$4,AX$4&lt;=Projects!$C$28+Projects!$D$28-1),Projects!$B$28/Projects!$D$28,"")</f>
        <v/>
      </c>
      <c r="AY34" s="567">
        <f>IF(AND(Projects!$C$28&lt;=AY$4,AY$4&lt;=Projects!$C$28+Projects!$D$28-1),Projects!$B$28/Projects!$D$28,"")</f>
        <v/>
      </c>
      <c r="AZ34" s="567">
        <f>IF(AND(Projects!$C$28&lt;=AZ$4,AZ$4&lt;=Projects!$C$28+Projects!$D$28-1),Projects!$B$28/Projects!$D$28,"")</f>
        <v/>
      </c>
      <c r="BA34" s="567">
        <f>IF(AND(Projects!$C$28&lt;=BA$4,BA$4&lt;=Projects!$C$28+Projects!$D$28-1),Projects!$B$28/Projects!$D$28,"")</f>
        <v/>
      </c>
      <c r="BB34" s="567">
        <f>IF(AND(Projects!$C$28&lt;=BB$4,BB$4&lt;=Projects!$C$28+Projects!$D$28-1),Projects!$B$28/Projects!$D$28,"")</f>
        <v/>
      </c>
      <c r="BC34" s="567">
        <f>IF(AND(Projects!$C$28&lt;=BC$4,BC$4&lt;=Projects!$C$28+Projects!$D$28-1),Projects!$B$28/Projects!$D$28,"")</f>
        <v/>
      </c>
      <c r="BD34" s="567">
        <f>IF(AND(Projects!$C$28&lt;=BD$4,BD$4&lt;=Projects!$C$28+Projects!$D$28-1),Projects!$B$28/Projects!$D$28,"")</f>
        <v/>
      </c>
      <c r="BE34" s="567">
        <f>IF(AND(Projects!$C$28&lt;=BE$4,BE$4&lt;=Projects!$C$28+Projects!$D$28-1),Projects!$B$28/Projects!$D$28,"")</f>
        <v/>
      </c>
      <c r="BF34" s="567">
        <f>IF(AND(Projects!$C$28&lt;=BF$4,BF$4&lt;=Projects!$C$28+Projects!$D$28-1),Projects!$B$28/Projects!$D$28,"")</f>
        <v/>
      </c>
      <c r="BG34" s="567">
        <f>IF(AND(Projects!$C$28&lt;=BG$4,BG$4&lt;=Projects!$C$28+Projects!$D$28-1),Projects!$B$28/Projects!$D$28,"")</f>
        <v/>
      </c>
      <c r="BH34" s="567">
        <f>IF(AND(Projects!$C$28&lt;=BH$4,BH$4&lt;=Projects!$C$28+Projects!$D$28-1),Projects!$B$28/Projects!$D$28,"")</f>
        <v/>
      </c>
      <c r="BI34" s="567">
        <f>IF(AND(Projects!$C$28&lt;=BI$4,BI$4&lt;=Projects!$C$28+Projects!$D$28-1),Projects!$B$28/Projects!$D$28,"")</f>
        <v/>
      </c>
      <c r="BJ34" s="567">
        <f>IF(AND(Projects!$C$28&lt;=BJ$4,BJ$4&lt;=Projects!$C$28+Projects!$D$28-1),Projects!$B$28/Projects!$D$28,"")</f>
        <v/>
      </c>
      <c r="BK34" s="567">
        <f>IF(AND(Projects!$C$28&lt;=BK$4,BK$4&lt;=Projects!$C$28+Projects!$D$28-1),Projects!$B$28/Projects!$D$28,"")</f>
        <v/>
      </c>
      <c r="BL34" s="567">
        <f>IF(AND(Projects!$C$28&lt;=BL$4,BL$4&lt;=Projects!$C$28+Projects!$D$28-1),Projects!$B$28/Projects!$D$28,"")</f>
        <v/>
      </c>
      <c r="BM34" s="567">
        <f>IF(AND(Projects!$C$28&lt;=BM$4,BM$4&lt;=Projects!$C$28+Projects!$D$28-1),Projects!$B$28/Projects!$D$28,"")</f>
        <v/>
      </c>
      <c r="BN34" s="567">
        <f>IF(AND(Projects!$C$28&lt;=BN$4,BN$4&lt;=Projects!$C$28+Projects!$D$28-1),Projects!$B$28/Projects!$D$28,"")</f>
        <v/>
      </c>
      <c r="BO34" s="567">
        <f>IF(AND(Projects!$C$28&lt;=BO$4,BO$4&lt;=Projects!$C$28+Projects!$D$28-1),Projects!$B$28/Projects!$D$28,"")</f>
        <v/>
      </c>
      <c r="BP34" s="567">
        <f>IF(AND(Projects!$C$28&lt;=BP$4,BP$4&lt;=Projects!$C$28+Projects!$D$28-1),Projects!$B$28/Projects!$D$28,"")</f>
        <v/>
      </c>
      <c r="BQ34" s="567">
        <f>IF(AND(Projects!$C$28&lt;=BQ$4,BQ$4&lt;=Projects!$C$28+Projects!$D$28-1),Projects!$B$28/Projects!$D$28,"")</f>
        <v/>
      </c>
      <c r="BR34" s="567">
        <f>IF(AND(Projects!$C$28&lt;=BR$4,BR$4&lt;=Projects!$C$28+Projects!$D$28-1),Projects!$B$28/Projects!$D$28,"")</f>
        <v/>
      </c>
      <c r="BS34" s="567">
        <f>IF(AND(Projects!$C$28&lt;=BS$4,BS$4&lt;=Projects!$C$28+Projects!$D$28-1),Projects!$B$28/Projects!$D$28,"")</f>
        <v/>
      </c>
      <c r="BT34" s="567">
        <f>IF(AND(Projects!$C$28&lt;=BT$4,BT$4&lt;=Projects!$C$28+Projects!$D$28-1),Projects!$B$28/Projects!$D$28,"")</f>
        <v/>
      </c>
      <c r="BU34" s="567">
        <f>IF(AND(Projects!$C$28&lt;=BU$4,BU$4&lt;=Projects!$C$28+Projects!$D$28-1),Projects!$B$28/Projects!$D$28,"")</f>
        <v/>
      </c>
      <c r="BV34" s="567">
        <f>IF(AND(Projects!$C$28&lt;=BV$4,BV$4&lt;=Projects!$C$28+Projects!$D$28-1),Projects!$B$28/Projects!$D$28,"")</f>
        <v/>
      </c>
      <c r="BW34" s="567">
        <f>IF(AND(Projects!$C$28&lt;=BW$4,BW$4&lt;=Projects!$C$28+Projects!$D$28-1),Projects!$B$28/Projects!$D$28,"")</f>
        <v/>
      </c>
      <c r="BX34" s="567">
        <f>IF(AND(Projects!$C$28&lt;=BX$4,BX$4&lt;=Projects!$C$28+Projects!$D$28-1),Projects!$B$28/Projects!$D$28,"")</f>
        <v/>
      </c>
      <c r="BY34" s="567">
        <f>IF(AND(Projects!$C$28&lt;=BY$4,BY$4&lt;=Projects!$C$28+Projects!$D$28-1),Projects!$B$28/Projects!$D$28,"")</f>
        <v/>
      </c>
      <c r="BZ34" s="567">
        <f>IF(AND(Projects!$C$28&lt;=BZ$4,BZ$4&lt;=Projects!$C$28+Projects!$D$28-1),Projects!$B$28/Projects!$D$28,"")</f>
        <v/>
      </c>
      <c r="CA34" s="567">
        <f>IF(AND(Projects!$C$28&lt;=CA$4,CA$4&lt;=Projects!$C$28+Projects!$D$28-1),Projects!$B$28/Projects!$D$28,"")</f>
        <v/>
      </c>
      <c r="CB34" s="567">
        <f>IF(AND(Projects!$C$28&lt;=CB$4,CB$4&lt;=Projects!$C$28+Projects!$D$28-1),Projects!$B$28/Projects!$D$28,"")</f>
        <v/>
      </c>
      <c r="CC34" s="567">
        <f>IF(AND(Projects!$C$28&lt;=CC$4,CC$4&lt;=Projects!$C$28+Projects!$D$28-1),Projects!$B$28/Projects!$D$28,"")</f>
        <v/>
      </c>
      <c r="CD34" s="567">
        <f>IF(AND(Projects!$C$28&lt;=CD$4,CD$4&lt;=Projects!$C$28+Projects!$D$28-1),Projects!$B$28/Projects!$D$28,"")</f>
        <v/>
      </c>
      <c r="CE34" s="567">
        <f>IF(AND(Projects!$C$28&lt;=CE$4,CE$4&lt;=Projects!$C$28+Projects!$D$28-1),Projects!$B$28/Projects!$D$28,"")</f>
        <v/>
      </c>
      <c r="CF34" s="567">
        <f>IF(AND(Projects!$C$28&lt;=CF$4,CF$4&lt;=Projects!$C$28+Projects!$D$28-1),Projects!$B$28/Projects!$D$28,"")</f>
        <v/>
      </c>
      <c r="CG34" s="567">
        <f>IF(AND(Projects!$C$28&lt;=CG$4,CG$4&lt;=Projects!$C$28+Projects!$D$28-1),Projects!$B$28/Projects!$D$28,"")</f>
        <v/>
      </c>
      <c r="CH34" s="567">
        <f>IF(AND(Projects!$C$28&lt;=CH$4,CH$4&lt;=Projects!$C$28+Projects!$D$28-1),Projects!$B$28/Projects!$D$28,"")</f>
        <v/>
      </c>
      <c r="CI34" s="567">
        <f>IF(AND(Projects!$C$28&lt;=CI$4,CI$4&lt;=Projects!$C$28+Projects!$D$28-1),Projects!$B$28/Projects!$D$28,"")</f>
        <v/>
      </c>
      <c r="CJ34" s="567">
        <f>IF(AND(Projects!$C$28&lt;=CJ$4,CJ$4&lt;=Projects!$C$28+Projects!$D$28-1),Projects!$B$28/Projects!$D$28,"")</f>
        <v/>
      </c>
      <c r="CK34" s="567">
        <f>IF(AND(Projects!$C$28&lt;=CK$4,CK$4&lt;=Projects!$C$28+Projects!$D$28-1),Projects!$B$28/Projects!$D$28,"")</f>
        <v/>
      </c>
      <c r="CL34" s="567">
        <f>IF(AND(Projects!$C$28&lt;=CL$4,CL$4&lt;=Projects!$C$28+Projects!$D$28-1),Projects!$B$28/Projects!$D$28,"")</f>
        <v/>
      </c>
      <c r="CM34" s="567">
        <f>IF(AND(Projects!$C$28&lt;=CM$4,CM$4&lt;=Projects!$C$28+Projects!$D$28-1),Projects!$B$28/Projects!$D$28,"")</f>
        <v/>
      </c>
      <c r="CN34" s="567">
        <f>IF(AND(Projects!$C$28&lt;=CN$4,CN$4&lt;=Projects!$C$28+Projects!$D$28-1),Projects!$B$28/Projects!$D$28,"")</f>
        <v/>
      </c>
      <c r="CO34" s="567">
        <f>IF(AND(Projects!$C$28&lt;=CO$4,CO$4&lt;=Projects!$C$28+Projects!$D$28-1),Projects!$B$28/Projects!$D$28,"")</f>
        <v/>
      </c>
      <c r="CP34" s="567">
        <f>IF(AND(Projects!$C$28&lt;=CP$4,CP$4&lt;=Projects!$C$28+Projects!$D$28-1),Projects!$B$28/Projects!$D$28,"")</f>
        <v/>
      </c>
      <c r="CQ34" s="567">
        <f>IF(AND(Projects!$C$28&lt;=CQ$4,CQ$4&lt;=Projects!$C$28+Projects!$D$28-1),Projects!$B$28/Projects!$D$28,"")</f>
        <v/>
      </c>
      <c r="CR34" s="567">
        <f>IF(AND(Projects!$C$28&lt;=CR$4,CR$4&lt;=Projects!$C$28+Projects!$D$28-1),Projects!$B$28/Projects!$D$28,"")</f>
        <v/>
      </c>
      <c r="CS34" s="567">
        <f>IF(AND(Projects!$C$28&lt;=CS$4,CS$4&lt;=Projects!$C$28+Projects!$D$28-1),Projects!$B$28/Projects!$D$28,"")</f>
        <v/>
      </c>
      <c r="CT34" s="567">
        <f>IF(AND(Projects!$C$28&lt;=CT$4,CT$4&lt;=Projects!$C$28+Projects!$D$28-1),Projects!$B$28/Projects!$D$28,"")</f>
        <v/>
      </c>
      <c r="CU34" s="567">
        <f>IF(AND(Projects!$C$28&lt;=CU$4,CU$4&lt;=Projects!$C$28+Projects!$D$28-1),Projects!$B$28/Projects!$D$28,"")</f>
        <v/>
      </c>
      <c r="CV34" s="567">
        <f>IF(AND(Projects!$C$28&lt;=CV$4,CV$4&lt;=Projects!$C$28+Projects!$D$28-1),Projects!$B$28/Projects!$D$28,"")</f>
        <v/>
      </c>
      <c r="CW34" s="567">
        <f>IF(AND(Projects!$C$28&lt;=CW$4,CW$4&lt;=Projects!$C$28+Projects!$D$28-1),Projects!$B$28/Projects!$D$28,"")</f>
        <v/>
      </c>
      <c r="CX34" s="567">
        <f>IF(AND(Projects!$C$28&lt;=CX$4,CX$4&lt;=Projects!$C$28+Projects!$D$28-1),Projects!$B$28/Projects!$D$28,"")</f>
        <v/>
      </c>
      <c r="CY34" s="567">
        <f>IF(AND(Projects!$C$28&lt;=CY$4,CY$4&lt;=Projects!$C$28+Projects!$D$28-1),Projects!$B$28/Projects!$D$28,"")</f>
        <v/>
      </c>
      <c r="CZ34" s="567">
        <f>IF(AND(Projects!$C$28&lt;=CZ$4,CZ$4&lt;=Projects!$C$28+Projects!$D$28-1),Projects!$B$28/Projects!$D$28,"")</f>
        <v/>
      </c>
      <c r="DA34" s="567">
        <f>IF(AND(Projects!$C$28&lt;=DA$4,DA$4&lt;=Projects!$C$28+Projects!$D$28-1),Projects!$B$28/Projects!$D$28,"")</f>
        <v/>
      </c>
      <c r="DB34" s="567">
        <f>IF(AND(Projects!$C$28&lt;=DB$4,DB$4&lt;=Projects!$C$28+Projects!$D$28-1),Projects!$B$28/Projects!$D$28,"")</f>
        <v/>
      </c>
    </row>
    <row r="35" ht="15" customFormat="1" customHeight="1" s="380">
      <c r="A35" s="563" t="inlineStr">
        <is>
          <t>BD-13</t>
        </is>
      </c>
      <c r="B35" s="564">
        <f>Projects!$B$29</f>
        <v/>
      </c>
      <c r="C35" s="565">
        <f>EDATE(Model!$E$2,Projects!$C$29-1)</f>
        <v/>
      </c>
      <c r="D35" s="565">
        <f>EDATE(Model!$E$2,Projects!$C$29+Projects!$D$29-2)</f>
        <v/>
      </c>
      <c r="E35" s="566">
        <f>Projects!$D$29</f>
        <v/>
      </c>
      <c r="F35" s="564">
        <f>Projects!$B$29/Projects!$D$29</f>
        <v/>
      </c>
      <c r="G35" s="567">
        <f>IF(AND(Projects!$C$29&lt;=G$4,G$4&lt;=Projects!$C$29+Projects!$D$29-1),Projects!$B$29/Projects!$D$29,"")</f>
        <v/>
      </c>
      <c r="H35" s="567">
        <f>IF(AND(Projects!$C$29&lt;=H$4,H$4&lt;=Projects!$C$29+Projects!$D$29-1),Projects!$B$29/Projects!$D$29,"")</f>
        <v/>
      </c>
      <c r="I35" s="567">
        <f>IF(AND(Projects!$C$29&lt;=I$4,I$4&lt;=Projects!$C$29+Projects!$D$29-1),Projects!$B$29/Projects!$D$29,"")</f>
        <v/>
      </c>
      <c r="J35" s="567">
        <f>IF(AND(Projects!$C$29&lt;=J$4,J$4&lt;=Projects!$C$29+Projects!$D$29-1),Projects!$B$29/Projects!$D$29,"")</f>
        <v/>
      </c>
      <c r="K35" s="567">
        <f>IF(AND(Projects!$C$29&lt;=K$4,K$4&lt;=Projects!$C$29+Projects!$D$29-1),Projects!$B$29/Projects!$D$29,"")</f>
        <v/>
      </c>
      <c r="L35" s="567">
        <f>IF(AND(Projects!$C$29&lt;=L$4,L$4&lt;=Projects!$C$29+Projects!$D$29-1),Projects!$B$29/Projects!$D$29,"")</f>
        <v/>
      </c>
      <c r="M35" s="567">
        <f>IF(AND(Projects!$C$29&lt;=M$4,M$4&lt;=Projects!$C$29+Projects!$D$29-1),Projects!$B$29/Projects!$D$29,"")</f>
        <v/>
      </c>
      <c r="N35" s="567">
        <f>IF(AND(Projects!$C$29&lt;=N$4,N$4&lt;=Projects!$C$29+Projects!$D$29-1),Projects!$B$29/Projects!$D$29,"")</f>
        <v/>
      </c>
      <c r="O35" s="567">
        <f>IF(AND(Projects!$C$29&lt;=O$4,O$4&lt;=Projects!$C$29+Projects!$D$29-1),Projects!$B$29/Projects!$D$29,"")</f>
        <v/>
      </c>
      <c r="P35" s="567">
        <f>IF(AND(Projects!$C$29&lt;=P$4,P$4&lt;=Projects!$C$29+Projects!$D$29-1),Projects!$B$29/Projects!$D$29,"")</f>
        <v/>
      </c>
      <c r="Q35" s="567">
        <f>IF(AND(Projects!$C$29&lt;=Q$4,Q$4&lt;=Projects!$C$29+Projects!$D$29-1),Projects!$B$29/Projects!$D$29,"")</f>
        <v/>
      </c>
      <c r="R35" s="567">
        <f>IF(AND(Projects!$C$29&lt;=R$4,R$4&lt;=Projects!$C$29+Projects!$D$29-1),Projects!$B$29/Projects!$D$29,"")</f>
        <v/>
      </c>
      <c r="S35" s="567">
        <f>IF(AND(Projects!$C$29&lt;=S$4,S$4&lt;=Projects!$C$29+Projects!$D$29-1),Projects!$B$29/Projects!$D$29,"")</f>
        <v/>
      </c>
      <c r="T35" s="567">
        <f>IF(AND(Projects!$C$29&lt;=T$4,T$4&lt;=Projects!$C$29+Projects!$D$29-1),Projects!$B$29/Projects!$D$29,"")</f>
        <v/>
      </c>
      <c r="U35" s="567">
        <f>IF(AND(Projects!$C$29&lt;=U$4,U$4&lt;=Projects!$C$29+Projects!$D$29-1),Projects!$B$29/Projects!$D$29,"")</f>
        <v/>
      </c>
      <c r="V35" s="567">
        <f>IF(AND(Projects!$C$29&lt;=V$4,V$4&lt;=Projects!$C$29+Projects!$D$29-1),Projects!$B$29/Projects!$D$29,"")</f>
        <v/>
      </c>
      <c r="W35" s="567">
        <f>IF(AND(Projects!$C$29&lt;=W$4,W$4&lt;=Projects!$C$29+Projects!$D$29-1),Projects!$B$29/Projects!$D$29,"")</f>
        <v/>
      </c>
      <c r="X35" s="567">
        <f>IF(AND(Projects!$C$29&lt;=X$4,X$4&lt;=Projects!$C$29+Projects!$D$29-1),Projects!$B$29/Projects!$D$29,"")</f>
        <v/>
      </c>
      <c r="Y35" s="567">
        <f>IF(AND(Projects!$C$29&lt;=Y$4,Y$4&lt;=Projects!$C$29+Projects!$D$29-1),Projects!$B$29/Projects!$D$29,"")</f>
        <v/>
      </c>
      <c r="Z35" s="567">
        <f>IF(AND(Projects!$C$29&lt;=Z$4,Z$4&lt;=Projects!$C$29+Projects!$D$29-1),Projects!$B$29/Projects!$D$29,"")</f>
        <v/>
      </c>
      <c r="AA35" s="567">
        <f>IF(AND(Projects!$C$29&lt;=AA$4,AA$4&lt;=Projects!$C$29+Projects!$D$29-1),Projects!$B$29/Projects!$D$29,"")</f>
        <v/>
      </c>
      <c r="AB35" s="567">
        <f>IF(AND(Projects!$C$29&lt;=AB$4,AB$4&lt;=Projects!$C$29+Projects!$D$29-1),Projects!$B$29/Projects!$D$29,"")</f>
        <v/>
      </c>
      <c r="AC35" s="567">
        <f>IF(AND(Projects!$C$29&lt;=AC$4,AC$4&lt;=Projects!$C$29+Projects!$D$29-1),Projects!$B$29/Projects!$D$29,"")</f>
        <v/>
      </c>
      <c r="AD35" s="567">
        <f>IF(AND(Projects!$C$29&lt;=AD$4,AD$4&lt;=Projects!$C$29+Projects!$D$29-1),Projects!$B$29/Projects!$D$29,"")</f>
        <v/>
      </c>
      <c r="AE35" s="567">
        <f>IF(AND(Projects!$C$29&lt;=AE$4,AE$4&lt;=Projects!$C$29+Projects!$D$29-1),Projects!$B$29/Projects!$D$29,"")</f>
        <v/>
      </c>
      <c r="AF35" s="567">
        <f>IF(AND(Projects!$C$29&lt;=AF$4,AF$4&lt;=Projects!$C$29+Projects!$D$29-1),Projects!$B$29/Projects!$D$29,"")</f>
        <v/>
      </c>
      <c r="AG35" s="567">
        <f>IF(AND(Projects!$C$29&lt;=AG$4,AG$4&lt;=Projects!$C$29+Projects!$D$29-1),Projects!$B$29/Projects!$D$29,"")</f>
        <v/>
      </c>
      <c r="AH35" s="567">
        <f>IF(AND(Projects!$C$29&lt;=AH$4,AH$4&lt;=Projects!$C$29+Projects!$D$29-1),Projects!$B$29/Projects!$D$29,"")</f>
        <v/>
      </c>
      <c r="AI35" s="567">
        <f>IF(AND(Projects!$C$29&lt;=AI$4,AI$4&lt;=Projects!$C$29+Projects!$D$29-1),Projects!$B$29/Projects!$D$29,"")</f>
        <v/>
      </c>
      <c r="AJ35" s="567">
        <f>IF(AND(Projects!$C$29&lt;=AJ$4,AJ$4&lt;=Projects!$C$29+Projects!$D$29-1),Projects!$B$29/Projects!$D$29,"")</f>
        <v/>
      </c>
      <c r="AK35" s="567">
        <f>IF(AND(Projects!$C$29&lt;=AK$4,AK$4&lt;=Projects!$C$29+Projects!$D$29-1),Projects!$B$29/Projects!$D$29,"")</f>
        <v/>
      </c>
      <c r="AL35" s="567">
        <f>IF(AND(Projects!$C$29&lt;=AL$4,AL$4&lt;=Projects!$C$29+Projects!$D$29-1),Projects!$B$29/Projects!$D$29,"")</f>
        <v/>
      </c>
      <c r="AM35" s="567">
        <f>IF(AND(Projects!$C$29&lt;=AM$4,AM$4&lt;=Projects!$C$29+Projects!$D$29-1),Projects!$B$29/Projects!$D$29,"")</f>
        <v/>
      </c>
      <c r="AN35" s="567">
        <f>IF(AND(Projects!$C$29&lt;=AN$4,AN$4&lt;=Projects!$C$29+Projects!$D$29-1),Projects!$B$29/Projects!$D$29,"")</f>
        <v/>
      </c>
      <c r="AO35" s="567">
        <f>IF(AND(Projects!$C$29&lt;=AO$4,AO$4&lt;=Projects!$C$29+Projects!$D$29-1),Projects!$B$29/Projects!$D$29,"")</f>
        <v/>
      </c>
      <c r="AP35" s="567">
        <f>IF(AND(Projects!$C$29&lt;=AP$4,AP$4&lt;=Projects!$C$29+Projects!$D$29-1),Projects!$B$29/Projects!$D$29,"")</f>
        <v/>
      </c>
      <c r="AQ35" s="567">
        <f>IF(AND(Projects!$C$29&lt;=AQ$4,AQ$4&lt;=Projects!$C$29+Projects!$D$29-1),Projects!$B$29/Projects!$D$29,"")</f>
        <v/>
      </c>
      <c r="AR35" s="567">
        <f>IF(AND(Projects!$C$29&lt;=AR$4,AR$4&lt;=Projects!$C$29+Projects!$D$29-1),Projects!$B$29/Projects!$D$29,"")</f>
        <v/>
      </c>
      <c r="AS35" s="567">
        <f>IF(AND(Projects!$C$29&lt;=AS$4,AS$4&lt;=Projects!$C$29+Projects!$D$29-1),Projects!$B$29/Projects!$D$29,"")</f>
        <v/>
      </c>
      <c r="AT35" s="567">
        <f>IF(AND(Projects!$C$29&lt;=AT$4,AT$4&lt;=Projects!$C$29+Projects!$D$29-1),Projects!$B$29/Projects!$D$29,"")</f>
        <v/>
      </c>
      <c r="AU35" s="567">
        <f>IF(AND(Projects!$C$29&lt;=AU$4,AU$4&lt;=Projects!$C$29+Projects!$D$29-1),Projects!$B$29/Projects!$D$29,"")</f>
        <v/>
      </c>
      <c r="AV35" s="567">
        <f>IF(AND(Projects!$C$29&lt;=AV$4,AV$4&lt;=Projects!$C$29+Projects!$D$29-1),Projects!$B$29/Projects!$D$29,"")</f>
        <v/>
      </c>
      <c r="AW35" s="567">
        <f>IF(AND(Projects!$C$29&lt;=AW$4,AW$4&lt;=Projects!$C$29+Projects!$D$29-1),Projects!$B$29/Projects!$D$29,"")</f>
        <v/>
      </c>
      <c r="AX35" s="567">
        <f>IF(AND(Projects!$C$29&lt;=AX$4,AX$4&lt;=Projects!$C$29+Projects!$D$29-1),Projects!$B$29/Projects!$D$29,"")</f>
        <v/>
      </c>
      <c r="AY35" s="567">
        <f>IF(AND(Projects!$C$29&lt;=AY$4,AY$4&lt;=Projects!$C$29+Projects!$D$29-1),Projects!$B$29/Projects!$D$29,"")</f>
        <v/>
      </c>
      <c r="AZ35" s="567">
        <f>IF(AND(Projects!$C$29&lt;=AZ$4,AZ$4&lt;=Projects!$C$29+Projects!$D$29-1),Projects!$B$29/Projects!$D$29,"")</f>
        <v/>
      </c>
      <c r="BA35" s="567">
        <f>IF(AND(Projects!$C$29&lt;=BA$4,BA$4&lt;=Projects!$C$29+Projects!$D$29-1),Projects!$B$29/Projects!$D$29,"")</f>
        <v/>
      </c>
      <c r="BB35" s="567">
        <f>IF(AND(Projects!$C$29&lt;=BB$4,BB$4&lt;=Projects!$C$29+Projects!$D$29-1),Projects!$B$29/Projects!$D$29,"")</f>
        <v/>
      </c>
      <c r="BC35" s="567">
        <f>IF(AND(Projects!$C$29&lt;=BC$4,BC$4&lt;=Projects!$C$29+Projects!$D$29-1),Projects!$B$29/Projects!$D$29,"")</f>
        <v/>
      </c>
      <c r="BD35" s="567">
        <f>IF(AND(Projects!$C$29&lt;=BD$4,BD$4&lt;=Projects!$C$29+Projects!$D$29-1),Projects!$B$29/Projects!$D$29,"")</f>
        <v/>
      </c>
      <c r="BE35" s="567">
        <f>IF(AND(Projects!$C$29&lt;=BE$4,BE$4&lt;=Projects!$C$29+Projects!$D$29-1),Projects!$B$29/Projects!$D$29,"")</f>
        <v/>
      </c>
      <c r="BF35" s="567">
        <f>IF(AND(Projects!$C$29&lt;=BF$4,BF$4&lt;=Projects!$C$29+Projects!$D$29-1),Projects!$B$29/Projects!$D$29,"")</f>
        <v/>
      </c>
      <c r="BG35" s="567">
        <f>IF(AND(Projects!$C$29&lt;=BG$4,BG$4&lt;=Projects!$C$29+Projects!$D$29-1),Projects!$B$29/Projects!$D$29,"")</f>
        <v/>
      </c>
      <c r="BH35" s="567">
        <f>IF(AND(Projects!$C$29&lt;=BH$4,BH$4&lt;=Projects!$C$29+Projects!$D$29-1),Projects!$B$29/Projects!$D$29,"")</f>
        <v/>
      </c>
      <c r="BI35" s="567">
        <f>IF(AND(Projects!$C$29&lt;=BI$4,BI$4&lt;=Projects!$C$29+Projects!$D$29-1),Projects!$B$29/Projects!$D$29,"")</f>
        <v/>
      </c>
      <c r="BJ35" s="567">
        <f>IF(AND(Projects!$C$29&lt;=BJ$4,BJ$4&lt;=Projects!$C$29+Projects!$D$29-1),Projects!$B$29/Projects!$D$29,"")</f>
        <v/>
      </c>
      <c r="BK35" s="567">
        <f>IF(AND(Projects!$C$29&lt;=BK$4,BK$4&lt;=Projects!$C$29+Projects!$D$29-1),Projects!$B$29/Projects!$D$29,"")</f>
        <v/>
      </c>
      <c r="BL35" s="567">
        <f>IF(AND(Projects!$C$29&lt;=BL$4,BL$4&lt;=Projects!$C$29+Projects!$D$29-1),Projects!$B$29/Projects!$D$29,"")</f>
        <v/>
      </c>
      <c r="BM35" s="567">
        <f>IF(AND(Projects!$C$29&lt;=BM$4,BM$4&lt;=Projects!$C$29+Projects!$D$29-1),Projects!$B$29/Projects!$D$29,"")</f>
        <v/>
      </c>
      <c r="BN35" s="567">
        <f>IF(AND(Projects!$C$29&lt;=BN$4,BN$4&lt;=Projects!$C$29+Projects!$D$29-1),Projects!$B$29/Projects!$D$29,"")</f>
        <v/>
      </c>
      <c r="BO35" s="567">
        <f>IF(AND(Projects!$C$29&lt;=BO$4,BO$4&lt;=Projects!$C$29+Projects!$D$29-1),Projects!$B$29/Projects!$D$29,"")</f>
        <v/>
      </c>
      <c r="BP35" s="567">
        <f>IF(AND(Projects!$C$29&lt;=BP$4,BP$4&lt;=Projects!$C$29+Projects!$D$29-1),Projects!$B$29/Projects!$D$29,"")</f>
        <v/>
      </c>
      <c r="BQ35" s="567">
        <f>IF(AND(Projects!$C$29&lt;=BQ$4,BQ$4&lt;=Projects!$C$29+Projects!$D$29-1),Projects!$B$29/Projects!$D$29,"")</f>
        <v/>
      </c>
      <c r="BR35" s="567">
        <f>IF(AND(Projects!$C$29&lt;=BR$4,BR$4&lt;=Projects!$C$29+Projects!$D$29-1),Projects!$B$29/Projects!$D$29,"")</f>
        <v/>
      </c>
      <c r="BS35" s="567">
        <f>IF(AND(Projects!$C$29&lt;=BS$4,BS$4&lt;=Projects!$C$29+Projects!$D$29-1),Projects!$B$29/Projects!$D$29,"")</f>
        <v/>
      </c>
      <c r="BT35" s="567">
        <f>IF(AND(Projects!$C$29&lt;=BT$4,BT$4&lt;=Projects!$C$29+Projects!$D$29-1),Projects!$B$29/Projects!$D$29,"")</f>
        <v/>
      </c>
      <c r="BU35" s="567">
        <f>IF(AND(Projects!$C$29&lt;=BU$4,BU$4&lt;=Projects!$C$29+Projects!$D$29-1),Projects!$B$29/Projects!$D$29,"")</f>
        <v/>
      </c>
      <c r="BV35" s="567">
        <f>IF(AND(Projects!$C$29&lt;=BV$4,BV$4&lt;=Projects!$C$29+Projects!$D$29-1),Projects!$B$29/Projects!$D$29,"")</f>
        <v/>
      </c>
      <c r="BW35" s="567">
        <f>IF(AND(Projects!$C$29&lt;=BW$4,BW$4&lt;=Projects!$C$29+Projects!$D$29-1),Projects!$B$29/Projects!$D$29,"")</f>
        <v/>
      </c>
      <c r="BX35" s="567">
        <f>IF(AND(Projects!$C$29&lt;=BX$4,BX$4&lt;=Projects!$C$29+Projects!$D$29-1),Projects!$B$29/Projects!$D$29,"")</f>
        <v/>
      </c>
      <c r="BY35" s="567">
        <f>IF(AND(Projects!$C$29&lt;=BY$4,BY$4&lt;=Projects!$C$29+Projects!$D$29-1),Projects!$B$29/Projects!$D$29,"")</f>
        <v/>
      </c>
      <c r="BZ35" s="567">
        <f>IF(AND(Projects!$C$29&lt;=BZ$4,BZ$4&lt;=Projects!$C$29+Projects!$D$29-1),Projects!$B$29/Projects!$D$29,"")</f>
        <v/>
      </c>
      <c r="CA35" s="567">
        <f>IF(AND(Projects!$C$29&lt;=CA$4,CA$4&lt;=Projects!$C$29+Projects!$D$29-1),Projects!$B$29/Projects!$D$29,"")</f>
        <v/>
      </c>
      <c r="CB35" s="567">
        <f>IF(AND(Projects!$C$29&lt;=CB$4,CB$4&lt;=Projects!$C$29+Projects!$D$29-1),Projects!$B$29/Projects!$D$29,"")</f>
        <v/>
      </c>
      <c r="CC35" s="567">
        <f>IF(AND(Projects!$C$29&lt;=CC$4,CC$4&lt;=Projects!$C$29+Projects!$D$29-1),Projects!$B$29/Projects!$D$29,"")</f>
        <v/>
      </c>
      <c r="CD35" s="567">
        <f>IF(AND(Projects!$C$29&lt;=CD$4,CD$4&lt;=Projects!$C$29+Projects!$D$29-1),Projects!$B$29/Projects!$D$29,"")</f>
        <v/>
      </c>
      <c r="CE35" s="567">
        <f>IF(AND(Projects!$C$29&lt;=CE$4,CE$4&lt;=Projects!$C$29+Projects!$D$29-1),Projects!$B$29/Projects!$D$29,"")</f>
        <v/>
      </c>
      <c r="CF35" s="567">
        <f>IF(AND(Projects!$C$29&lt;=CF$4,CF$4&lt;=Projects!$C$29+Projects!$D$29-1),Projects!$B$29/Projects!$D$29,"")</f>
        <v/>
      </c>
      <c r="CG35" s="567">
        <f>IF(AND(Projects!$C$29&lt;=CG$4,CG$4&lt;=Projects!$C$29+Projects!$D$29-1),Projects!$B$29/Projects!$D$29,"")</f>
        <v/>
      </c>
      <c r="CH35" s="567">
        <f>IF(AND(Projects!$C$29&lt;=CH$4,CH$4&lt;=Projects!$C$29+Projects!$D$29-1),Projects!$B$29/Projects!$D$29,"")</f>
        <v/>
      </c>
      <c r="CI35" s="567">
        <f>IF(AND(Projects!$C$29&lt;=CI$4,CI$4&lt;=Projects!$C$29+Projects!$D$29-1),Projects!$B$29/Projects!$D$29,"")</f>
        <v/>
      </c>
      <c r="CJ35" s="567">
        <f>IF(AND(Projects!$C$29&lt;=CJ$4,CJ$4&lt;=Projects!$C$29+Projects!$D$29-1),Projects!$B$29/Projects!$D$29,"")</f>
        <v/>
      </c>
      <c r="CK35" s="567">
        <f>IF(AND(Projects!$C$29&lt;=CK$4,CK$4&lt;=Projects!$C$29+Projects!$D$29-1),Projects!$B$29/Projects!$D$29,"")</f>
        <v/>
      </c>
      <c r="CL35" s="567">
        <f>IF(AND(Projects!$C$29&lt;=CL$4,CL$4&lt;=Projects!$C$29+Projects!$D$29-1),Projects!$B$29/Projects!$D$29,"")</f>
        <v/>
      </c>
      <c r="CM35" s="567">
        <f>IF(AND(Projects!$C$29&lt;=CM$4,CM$4&lt;=Projects!$C$29+Projects!$D$29-1),Projects!$B$29/Projects!$D$29,"")</f>
        <v/>
      </c>
      <c r="CN35" s="567">
        <f>IF(AND(Projects!$C$29&lt;=CN$4,CN$4&lt;=Projects!$C$29+Projects!$D$29-1),Projects!$B$29/Projects!$D$29,"")</f>
        <v/>
      </c>
      <c r="CO35" s="567">
        <f>IF(AND(Projects!$C$29&lt;=CO$4,CO$4&lt;=Projects!$C$29+Projects!$D$29-1),Projects!$B$29/Projects!$D$29,"")</f>
        <v/>
      </c>
      <c r="CP35" s="567">
        <f>IF(AND(Projects!$C$29&lt;=CP$4,CP$4&lt;=Projects!$C$29+Projects!$D$29-1),Projects!$B$29/Projects!$D$29,"")</f>
        <v/>
      </c>
      <c r="CQ35" s="567">
        <f>IF(AND(Projects!$C$29&lt;=CQ$4,CQ$4&lt;=Projects!$C$29+Projects!$D$29-1),Projects!$B$29/Projects!$D$29,"")</f>
        <v/>
      </c>
      <c r="CR35" s="567">
        <f>IF(AND(Projects!$C$29&lt;=CR$4,CR$4&lt;=Projects!$C$29+Projects!$D$29-1),Projects!$B$29/Projects!$D$29,"")</f>
        <v/>
      </c>
      <c r="CS35" s="567">
        <f>IF(AND(Projects!$C$29&lt;=CS$4,CS$4&lt;=Projects!$C$29+Projects!$D$29-1),Projects!$B$29/Projects!$D$29,"")</f>
        <v/>
      </c>
      <c r="CT35" s="567">
        <f>IF(AND(Projects!$C$29&lt;=CT$4,CT$4&lt;=Projects!$C$29+Projects!$D$29-1),Projects!$B$29/Projects!$D$29,"")</f>
        <v/>
      </c>
      <c r="CU35" s="567">
        <f>IF(AND(Projects!$C$29&lt;=CU$4,CU$4&lt;=Projects!$C$29+Projects!$D$29-1),Projects!$B$29/Projects!$D$29,"")</f>
        <v/>
      </c>
      <c r="CV35" s="567">
        <f>IF(AND(Projects!$C$29&lt;=CV$4,CV$4&lt;=Projects!$C$29+Projects!$D$29-1),Projects!$B$29/Projects!$D$29,"")</f>
        <v/>
      </c>
      <c r="CW35" s="567">
        <f>IF(AND(Projects!$C$29&lt;=CW$4,CW$4&lt;=Projects!$C$29+Projects!$D$29-1),Projects!$B$29/Projects!$D$29,"")</f>
        <v/>
      </c>
      <c r="CX35" s="567">
        <f>IF(AND(Projects!$C$29&lt;=CX$4,CX$4&lt;=Projects!$C$29+Projects!$D$29-1),Projects!$B$29/Projects!$D$29,"")</f>
        <v/>
      </c>
      <c r="CY35" s="567">
        <f>IF(AND(Projects!$C$29&lt;=CY$4,CY$4&lt;=Projects!$C$29+Projects!$D$29-1),Projects!$B$29/Projects!$D$29,"")</f>
        <v/>
      </c>
      <c r="CZ35" s="567">
        <f>IF(AND(Projects!$C$29&lt;=CZ$4,CZ$4&lt;=Projects!$C$29+Projects!$D$29-1),Projects!$B$29/Projects!$D$29,"")</f>
        <v/>
      </c>
      <c r="DA35" s="567">
        <f>IF(AND(Projects!$C$29&lt;=DA$4,DA$4&lt;=Projects!$C$29+Projects!$D$29-1),Projects!$B$29/Projects!$D$29,"")</f>
        <v/>
      </c>
      <c r="DB35" s="567">
        <f>IF(AND(Projects!$C$29&lt;=DB$4,DB$4&lt;=Projects!$C$29+Projects!$D$29-1),Projects!$B$29/Projects!$D$29,"")</f>
        <v/>
      </c>
    </row>
    <row r="36" ht="15" customFormat="1" customHeight="1" s="380">
      <c r="A36" s="563" t="inlineStr">
        <is>
          <t>BD-14</t>
        </is>
      </c>
      <c r="B36" s="564">
        <f>Projects!$B$30</f>
        <v/>
      </c>
      <c r="C36" s="565">
        <f>EDATE(Model!$E$2,Projects!$C$30-1)</f>
        <v/>
      </c>
      <c r="D36" s="565">
        <f>EDATE(Model!$E$2,Projects!$C$30+Projects!$D$30-2)</f>
        <v/>
      </c>
      <c r="E36" s="566">
        <f>Projects!$D$30</f>
        <v/>
      </c>
      <c r="F36" s="564">
        <f>Projects!$B$30/Projects!$D$30</f>
        <v/>
      </c>
      <c r="G36" s="567">
        <f>IF(AND(Projects!$C$30&lt;=G$4,G$4&lt;=Projects!$C$30+Projects!$D$30-1),Projects!$B$30/Projects!$D$30,"")</f>
        <v/>
      </c>
      <c r="H36" s="567">
        <f>IF(AND(Projects!$C$30&lt;=H$4,H$4&lt;=Projects!$C$30+Projects!$D$30-1),Projects!$B$30/Projects!$D$30,"")</f>
        <v/>
      </c>
      <c r="I36" s="567">
        <f>IF(AND(Projects!$C$30&lt;=I$4,I$4&lt;=Projects!$C$30+Projects!$D$30-1),Projects!$B$30/Projects!$D$30,"")</f>
        <v/>
      </c>
      <c r="J36" s="567">
        <f>IF(AND(Projects!$C$30&lt;=J$4,J$4&lt;=Projects!$C$30+Projects!$D$30-1),Projects!$B$30/Projects!$D$30,"")</f>
        <v/>
      </c>
      <c r="K36" s="567">
        <f>IF(AND(Projects!$C$30&lt;=K$4,K$4&lt;=Projects!$C$30+Projects!$D$30-1),Projects!$B$30/Projects!$D$30,"")</f>
        <v/>
      </c>
      <c r="L36" s="567">
        <f>IF(AND(Projects!$C$30&lt;=L$4,L$4&lt;=Projects!$C$30+Projects!$D$30-1),Projects!$B$30/Projects!$D$30,"")</f>
        <v/>
      </c>
      <c r="M36" s="567">
        <f>IF(AND(Projects!$C$30&lt;=M$4,M$4&lt;=Projects!$C$30+Projects!$D$30-1),Projects!$B$30/Projects!$D$30,"")</f>
        <v/>
      </c>
      <c r="N36" s="567">
        <f>IF(AND(Projects!$C$30&lt;=N$4,N$4&lt;=Projects!$C$30+Projects!$D$30-1),Projects!$B$30/Projects!$D$30,"")</f>
        <v/>
      </c>
      <c r="O36" s="567">
        <f>IF(AND(Projects!$C$30&lt;=O$4,O$4&lt;=Projects!$C$30+Projects!$D$30-1),Projects!$B$30/Projects!$D$30,"")</f>
        <v/>
      </c>
      <c r="P36" s="567">
        <f>IF(AND(Projects!$C$30&lt;=P$4,P$4&lt;=Projects!$C$30+Projects!$D$30-1),Projects!$B$30/Projects!$D$30,"")</f>
        <v/>
      </c>
      <c r="Q36" s="567">
        <f>IF(AND(Projects!$C$30&lt;=Q$4,Q$4&lt;=Projects!$C$30+Projects!$D$30-1),Projects!$B$30/Projects!$D$30,"")</f>
        <v/>
      </c>
      <c r="R36" s="567">
        <f>IF(AND(Projects!$C$30&lt;=R$4,R$4&lt;=Projects!$C$30+Projects!$D$30-1),Projects!$B$30/Projects!$D$30,"")</f>
        <v/>
      </c>
      <c r="S36" s="567">
        <f>IF(AND(Projects!$C$30&lt;=S$4,S$4&lt;=Projects!$C$30+Projects!$D$30-1),Projects!$B$30/Projects!$D$30,"")</f>
        <v/>
      </c>
      <c r="T36" s="567">
        <f>IF(AND(Projects!$C$30&lt;=T$4,T$4&lt;=Projects!$C$30+Projects!$D$30-1),Projects!$B$30/Projects!$D$30,"")</f>
        <v/>
      </c>
      <c r="U36" s="567">
        <f>IF(AND(Projects!$C$30&lt;=U$4,U$4&lt;=Projects!$C$30+Projects!$D$30-1),Projects!$B$30/Projects!$D$30,"")</f>
        <v/>
      </c>
      <c r="V36" s="567">
        <f>IF(AND(Projects!$C$30&lt;=V$4,V$4&lt;=Projects!$C$30+Projects!$D$30-1),Projects!$B$30/Projects!$D$30,"")</f>
        <v/>
      </c>
      <c r="W36" s="567">
        <f>IF(AND(Projects!$C$30&lt;=W$4,W$4&lt;=Projects!$C$30+Projects!$D$30-1),Projects!$B$30/Projects!$D$30,"")</f>
        <v/>
      </c>
      <c r="X36" s="567">
        <f>IF(AND(Projects!$C$30&lt;=X$4,X$4&lt;=Projects!$C$30+Projects!$D$30-1),Projects!$B$30/Projects!$D$30,"")</f>
        <v/>
      </c>
      <c r="Y36" s="567">
        <f>IF(AND(Projects!$C$30&lt;=Y$4,Y$4&lt;=Projects!$C$30+Projects!$D$30-1),Projects!$B$30/Projects!$D$30,"")</f>
        <v/>
      </c>
      <c r="Z36" s="567">
        <f>IF(AND(Projects!$C$30&lt;=Z$4,Z$4&lt;=Projects!$C$30+Projects!$D$30-1),Projects!$B$30/Projects!$D$30,"")</f>
        <v/>
      </c>
      <c r="AA36" s="567">
        <f>IF(AND(Projects!$C$30&lt;=AA$4,AA$4&lt;=Projects!$C$30+Projects!$D$30-1),Projects!$B$30/Projects!$D$30,"")</f>
        <v/>
      </c>
      <c r="AB36" s="567">
        <f>IF(AND(Projects!$C$30&lt;=AB$4,AB$4&lt;=Projects!$C$30+Projects!$D$30-1),Projects!$B$30/Projects!$D$30,"")</f>
        <v/>
      </c>
      <c r="AC36" s="567">
        <f>IF(AND(Projects!$C$30&lt;=AC$4,AC$4&lt;=Projects!$C$30+Projects!$D$30-1),Projects!$B$30/Projects!$D$30,"")</f>
        <v/>
      </c>
      <c r="AD36" s="567">
        <f>IF(AND(Projects!$C$30&lt;=AD$4,AD$4&lt;=Projects!$C$30+Projects!$D$30-1),Projects!$B$30/Projects!$D$30,"")</f>
        <v/>
      </c>
      <c r="AE36" s="567">
        <f>IF(AND(Projects!$C$30&lt;=AE$4,AE$4&lt;=Projects!$C$30+Projects!$D$30-1),Projects!$B$30/Projects!$D$30,"")</f>
        <v/>
      </c>
      <c r="AF36" s="567">
        <f>IF(AND(Projects!$C$30&lt;=AF$4,AF$4&lt;=Projects!$C$30+Projects!$D$30-1),Projects!$B$30/Projects!$D$30,"")</f>
        <v/>
      </c>
      <c r="AG36" s="567">
        <f>IF(AND(Projects!$C$30&lt;=AG$4,AG$4&lt;=Projects!$C$30+Projects!$D$30-1),Projects!$B$30/Projects!$D$30,"")</f>
        <v/>
      </c>
      <c r="AH36" s="567">
        <f>IF(AND(Projects!$C$30&lt;=AH$4,AH$4&lt;=Projects!$C$30+Projects!$D$30-1),Projects!$B$30/Projects!$D$30,"")</f>
        <v/>
      </c>
      <c r="AI36" s="567">
        <f>IF(AND(Projects!$C$30&lt;=AI$4,AI$4&lt;=Projects!$C$30+Projects!$D$30-1),Projects!$B$30/Projects!$D$30,"")</f>
        <v/>
      </c>
      <c r="AJ36" s="567">
        <f>IF(AND(Projects!$C$30&lt;=AJ$4,AJ$4&lt;=Projects!$C$30+Projects!$D$30-1),Projects!$B$30/Projects!$D$30,"")</f>
        <v/>
      </c>
      <c r="AK36" s="567">
        <f>IF(AND(Projects!$C$30&lt;=AK$4,AK$4&lt;=Projects!$C$30+Projects!$D$30-1),Projects!$B$30/Projects!$D$30,"")</f>
        <v/>
      </c>
      <c r="AL36" s="567">
        <f>IF(AND(Projects!$C$30&lt;=AL$4,AL$4&lt;=Projects!$C$30+Projects!$D$30-1),Projects!$B$30/Projects!$D$30,"")</f>
        <v/>
      </c>
      <c r="AM36" s="567">
        <f>IF(AND(Projects!$C$30&lt;=AM$4,AM$4&lt;=Projects!$C$30+Projects!$D$30-1),Projects!$B$30/Projects!$D$30,"")</f>
        <v/>
      </c>
      <c r="AN36" s="567">
        <f>IF(AND(Projects!$C$30&lt;=AN$4,AN$4&lt;=Projects!$C$30+Projects!$D$30-1),Projects!$B$30/Projects!$D$30,"")</f>
        <v/>
      </c>
      <c r="AO36" s="567">
        <f>IF(AND(Projects!$C$30&lt;=AO$4,AO$4&lt;=Projects!$C$30+Projects!$D$30-1),Projects!$B$30/Projects!$D$30,"")</f>
        <v/>
      </c>
      <c r="AP36" s="567">
        <f>IF(AND(Projects!$C$30&lt;=AP$4,AP$4&lt;=Projects!$C$30+Projects!$D$30-1),Projects!$B$30/Projects!$D$30,"")</f>
        <v/>
      </c>
      <c r="AQ36" s="567">
        <f>IF(AND(Projects!$C$30&lt;=AQ$4,AQ$4&lt;=Projects!$C$30+Projects!$D$30-1),Projects!$B$30/Projects!$D$30,"")</f>
        <v/>
      </c>
      <c r="AR36" s="567">
        <f>IF(AND(Projects!$C$30&lt;=AR$4,AR$4&lt;=Projects!$C$30+Projects!$D$30-1),Projects!$B$30/Projects!$D$30,"")</f>
        <v/>
      </c>
      <c r="AS36" s="567">
        <f>IF(AND(Projects!$C$30&lt;=AS$4,AS$4&lt;=Projects!$C$30+Projects!$D$30-1),Projects!$B$30/Projects!$D$30,"")</f>
        <v/>
      </c>
      <c r="AT36" s="567">
        <f>IF(AND(Projects!$C$30&lt;=AT$4,AT$4&lt;=Projects!$C$30+Projects!$D$30-1),Projects!$B$30/Projects!$D$30,"")</f>
        <v/>
      </c>
      <c r="AU36" s="567">
        <f>IF(AND(Projects!$C$30&lt;=AU$4,AU$4&lt;=Projects!$C$30+Projects!$D$30-1),Projects!$B$30/Projects!$D$30,"")</f>
        <v/>
      </c>
      <c r="AV36" s="567">
        <f>IF(AND(Projects!$C$30&lt;=AV$4,AV$4&lt;=Projects!$C$30+Projects!$D$30-1),Projects!$B$30/Projects!$D$30,"")</f>
        <v/>
      </c>
      <c r="AW36" s="567">
        <f>IF(AND(Projects!$C$30&lt;=AW$4,AW$4&lt;=Projects!$C$30+Projects!$D$30-1),Projects!$B$30/Projects!$D$30,"")</f>
        <v/>
      </c>
      <c r="AX36" s="567">
        <f>IF(AND(Projects!$C$30&lt;=AX$4,AX$4&lt;=Projects!$C$30+Projects!$D$30-1),Projects!$B$30/Projects!$D$30,"")</f>
        <v/>
      </c>
      <c r="AY36" s="567">
        <f>IF(AND(Projects!$C$30&lt;=AY$4,AY$4&lt;=Projects!$C$30+Projects!$D$30-1),Projects!$B$30/Projects!$D$30,"")</f>
        <v/>
      </c>
      <c r="AZ36" s="567">
        <f>IF(AND(Projects!$C$30&lt;=AZ$4,AZ$4&lt;=Projects!$C$30+Projects!$D$30-1),Projects!$B$30/Projects!$D$30,"")</f>
        <v/>
      </c>
      <c r="BA36" s="567">
        <f>IF(AND(Projects!$C$30&lt;=BA$4,BA$4&lt;=Projects!$C$30+Projects!$D$30-1),Projects!$B$30/Projects!$D$30,"")</f>
        <v/>
      </c>
      <c r="BB36" s="567">
        <f>IF(AND(Projects!$C$30&lt;=BB$4,BB$4&lt;=Projects!$C$30+Projects!$D$30-1),Projects!$B$30/Projects!$D$30,"")</f>
        <v/>
      </c>
      <c r="BC36" s="567">
        <f>IF(AND(Projects!$C$30&lt;=BC$4,BC$4&lt;=Projects!$C$30+Projects!$D$30-1),Projects!$B$30/Projects!$D$30,"")</f>
        <v/>
      </c>
      <c r="BD36" s="567">
        <f>IF(AND(Projects!$C$30&lt;=BD$4,BD$4&lt;=Projects!$C$30+Projects!$D$30-1),Projects!$B$30/Projects!$D$30,"")</f>
        <v/>
      </c>
      <c r="BE36" s="567">
        <f>IF(AND(Projects!$C$30&lt;=BE$4,BE$4&lt;=Projects!$C$30+Projects!$D$30-1),Projects!$B$30/Projects!$D$30,"")</f>
        <v/>
      </c>
      <c r="BF36" s="567">
        <f>IF(AND(Projects!$C$30&lt;=BF$4,BF$4&lt;=Projects!$C$30+Projects!$D$30-1),Projects!$B$30/Projects!$D$30,"")</f>
        <v/>
      </c>
      <c r="BG36" s="567">
        <f>IF(AND(Projects!$C$30&lt;=BG$4,BG$4&lt;=Projects!$C$30+Projects!$D$30-1),Projects!$B$30/Projects!$D$30,"")</f>
        <v/>
      </c>
      <c r="BH36" s="567">
        <f>IF(AND(Projects!$C$30&lt;=BH$4,BH$4&lt;=Projects!$C$30+Projects!$D$30-1),Projects!$B$30/Projects!$D$30,"")</f>
        <v/>
      </c>
      <c r="BI36" s="567">
        <f>IF(AND(Projects!$C$30&lt;=BI$4,BI$4&lt;=Projects!$C$30+Projects!$D$30-1),Projects!$B$30/Projects!$D$30,"")</f>
        <v/>
      </c>
      <c r="BJ36" s="567">
        <f>IF(AND(Projects!$C$30&lt;=BJ$4,BJ$4&lt;=Projects!$C$30+Projects!$D$30-1),Projects!$B$30/Projects!$D$30,"")</f>
        <v/>
      </c>
      <c r="BK36" s="567">
        <f>IF(AND(Projects!$C$30&lt;=BK$4,BK$4&lt;=Projects!$C$30+Projects!$D$30-1),Projects!$B$30/Projects!$D$30,"")</f>
        <v/>
      </c>
      <c r="BL36" s="567">
        <f>IF(AND(Projects!$C$30&lt;=BL$4,BL$4&lt;=Projects!$C$30+Projects!$D$30-1),Projects!$B$30/Projects!$D$30,"")</f>
        <v/>
      </c>
      <c r="BM36" s="567">
        <f>IF(AND(Projects!$C$30&lt;=BM$4,BM$4&lt;=Projects!$C$30+Projects!$D$30-1),Projects!$B$30/Projects!$D$30,"")</f>
        <v/>
      </c>
      <c r="BN36" s="567">
        <f>IF(AND(Projects!$C$30&lt;=BN$4,BN$4&lt;=Projects!$C$30+Projects!$D$30-1),Projects!$B$30/Projects!$D$30,"")</f>
        <v/>
      </c>
      <c r="BO36" s="567">
        <f>IF(AND(Projects!$C$30&lt;=BO$4,BO$4&lt;=Projects!$C$30+Projects!$D$30-1),Projects!$B$30/Projects!$D$30,"")</f>
        <v/>
      </c>
      <c r="BP36" s="567">
        <f>IF(AND(Projects!$C$30&lt;=BP$4,BP$4&lt;=Projects!$C$30+Projects!$D$30-1),Projects!$B$30/Projects!$D$30,"")</f>
        <v/>
      </c>
      <c r="BQ36" s="567">
        <f>IF(AND(Projects!$C$30&lt;=BQ$4,BQ$4&lt;=Projects!$C$30+Projects!$D$30-1),Projects!$B$30/Projects!$D$30,"")</f>
        <v/>
      </c>
      <c r="BR36" s="567">
        <f>IF(AND(Projects!$C$30&lt;=BR$4,BR$4&lt;=Projects!$C$30+Projects!$D$30-1),Projects!$B$30/Projects!$D$30,"")</f>
        <v/>
      </c>
      <c r="BS36" s="567">
        <f>IF(AND(Projects!$C$30&lt;=BS$4,BS$4&lt;=Projects!$C$30+Projects!$D$30-1),Projects!$B$30/Projects!$D$30,"")</f>
        <v/>
      </c>
      <c r="BT36" s="567">
        <f>IF(AND(Projects!$C$30&lt;=BT$4,BT$4&lt;=Projects!$C$30+Projects!$D$30-1),Projects!$B$30/Projects!$D$30,"")</f>
        <v/>
      </c>
      <c r="BU36" s="567">
        <f>IF(AND(Projects!$C$30&lt;=BU$4,BU$4&lt;=Projects!$C$30+Projects!$D$30-1),Projects!$B$30/Projects!$D$30,"")</f>
        <v/>
      </c>
      <c r="BV36" s="567">
        <f>IF(AND(Projects!$C$30&lt;=BV$4,BV$4&lt;=Projects!$C$30+Projects!$D$30-1),Projects!$B$30/Projects!$D$30,"")</f>
        <v/>
      </c>
      <c r="BW36" s="567">
        <f>IF(AND(Projects!$C$30&lt;=BW$4,BW$4&lt;=Projects!$C$30+Projects!$D$30-1),Projects!$B$30/Projects!$D$30,"")</f>
        <v/>
      </c>
      <c r="BX36" s="567">
        <f>IF(AND(Projects!$C$30&lt;=BX$4,BX$4&lt;=Projects!$C$30+Projects!$D$30-1),Projects!$B$30/Projects!$D$30,"")</f>
        <v/>
      </c>
      <c r="BY36" s="567">
        <f>IF(AND(Projects!$C$30&lt;=BY$4,BY$4&lt;=Projects!$C$30+Projects!$D$30-1),Projects!$B$30/Projects!$D$30,"")</f>
        <v/>
      </c>
      <c r="BZ36" s="567">
        <f>IF(AND(Projects!$C$30&lt;=BZ$4,BZ$4&lt;=Projects!$C$30+Projects!$D$30-1),Projects!$B$30/Projects!$D$30,"")</f>
        <v/>
      </c>
      <c r="CA36" s="567">
        <f>IF(AND(Projects!$C$30&lt;=CA$4,CA$4&lt;=Projects!$C$30+Projects!$D$30-1),Projects!$B$30/Projects!$D$30,"")</f>
        <v/>
      </c>
      <c r="CB36" s="567">
        <f>IF(AND(Projects!$C$30&lt;=CB$4,CB$4&lt;=Projects!$C$30+Projects!$D$30-1),Projects!$B$30/Projects!$D$30,"")</f>
        <v/>
      </c>
      <c r="CC36" s="567">
        <f>IF(AND(Projects!$C$30&lt;=CC$4,CC$4&lt;=Projects!$C$30+Projects!$D$30-1),Projects!$B$30/Projects!$D$30,"")</f>
        <v/>
      </c>
      <c r="CD36" s="567">
        <f>IF(AND(Projects!$C$30&lt;=CD$4,CD$4&lt;=Projects!$C$30+Projects!$D$30-1),Projects!$B$30/Projects!$D$30,"")</f>
        <v/>
      </c>
      <c r="CE36" s="567">
        <f>IF(AND(Projects!$C$30&lt;=CE$4,CE$4&lt;=Projects!$C$30+Projects!$D$30-1),Projects!$B$30/Projects!$D$30,"")</f>
        <v/>
      </c>
      <c r="CF36" s="567">
        <f>IF(AND(Projects!$C$30&lt;=CF$4,CF$4&lt;=Projects!$C$30+Projects!$D$30-1),Projects!$B$30/Projects!$D$30,"")</f>
        <v/>
      </c>
      <c r="CG36" s="567">
        <f>IF(AND(Projects!$C$30&lt;=CG$4,CG$4&lt;=Projects!$C$30+Projects!$D$30-1),Projects!$B$30/Projects!$D$30,"")</f>
        <v/>
      </c>
      <c r="CH36" s="567">
        <f>IF(AND(Projects!$C$30&lt;=CH$4,CH$4&lt;=Projects!$C$30+Projects!$D$30-1),Projects!$B$30/Projects!$D$30,"")</f>
        <v/>
      </c>
      <c r="CI36" s="567">
        <f>IF(AND(Projects!$C$30&lt;=CI$4,CI$4&lt;=Projects!$C$30+Projects!$D$30-1),Projects!$B$30/Projects!$D$30,"")</f>
        <v/>
      </c>
      <c r="CJ36" s="567">
        <f>IF(AND(Projects!$C$30&lt;=CJ$4,CJ$4&lt;=Projects!$C$30+Projects!$D$30-1),Projects!$B$30/Projects!$D$30,"")</f>
        <v/>
      </c>
      <c r="CK36" s="567">
        <f>IF(AND(Projects!$C$30&lt;=CK$4,CK$4&lt;=Projects!$C$30+Projects!$D$30-1),Projects!$B$30/Projects!$D$30,"")</f>
        <v/>
      </c>
      <c r="CL36" s="567">
        <f>IF(AND(Projects!$C$30&lt;=CL$4,CL$4&lt;=Projects!$C$30+Projects!$D$30-1),Projects!$B$30/Projects!$D$30,"")</f>
        <v/>
      </c>
      <c r="CM36" s="567">
        <f>IF(AND(Projects!$C$30&lt;=CM$4,CM$4&lt;=Projects!$C$30+Projects!$D$30-1),Projects!$B$30/Projects!$D$30,"")</f>
        <v/>
      </c>
      <c r="CN36" s="567">
        <f>IF(AND(Projects!$C$30&lt;=CN$4,CN$4&lt;=Projects!$C$30+Projects!$D$30-1),Projects!$B$30/Projects!$D$30,"")</f>
        <v/>
      </c>
      <c r="CO36" s="567">
        <f>IF(AND(Projects!$C$30&lt;=CO$4,CO$4&lt;=Projects!$C$30+Projects!$D$30-1),Projects!$B$30/Projects!$D$30,"")</f>
        <v/>
      </c>
      <c r="CP36" s="567">
        <f>IF(AND(Projects!$C$30&lt;=CP$4,CP$4&lt;=Projects!$C$30+Projects!$D$30-1),Projects!$B$30/Projects!$D$30,"")</f>
        <v/>
      </c>
      <c r="CQ36" s="567">
        <f>IF(AND(Projects!$C$30&lt;=CQ$4,CQ$4&lt;=Projects!$C$30+Projects!$D$30-1),Projects!$B$30/Projects!$D$30,"")</f>
        <v/>
      </c>
      <c r="CR36" s="567">
        <f>IF(AND(Projects!$C$30&lt;=CR$4,CR$4&lt;=Projects!$C$30+Projects!$D$30-1),Projects!$B$30/Projects!$D$30,"")</f>
        <v/>
      </c>
      <c r="CS36" s="567">
        <f>IF(AND(Projects!$C$30&lt;=CS$4,CS$4&lt;=Projects!$C$30+Projects!$D$30-1),Projects!$B$30/Projects!$D$30,"")</f>
        <v/>
      </c>
      <c r="CT36" s="567">
        <f>IF(AND(Projects!$C$30&lt;=CT$4,CT$4&lt;=Projects!$C$30+Projects!$D$30-1),Projects!$B$30/Projects!$D$30,"")</f>
        <v/>
      </c>
      <c r="CU36" s="567">
        <f>IF(AND(Projects!$C$30&lt;=CU$4,CU$4&lt;=Projects!$C$30+Projects!$D$30-1),Projects!$B$30/Projects!$D$30,"")</f>
        <v/>
      </c>
      <c r="CV36" s="567">
        <f>IF(AND(Projects!$C$30&lt;=CV$4,CV$4&lt;=Projects!$C$30+Projects!$D$30-1),Projects!$B$30/Projects!$D$30,"")</f>
        <v/>
      </c>
      <c r="CW36" s="567">
        <f>IF(AND(Projects!$C$30&lt;=CW$4,CW$4&lt;=Projects!$C$30+Projects!$D$30-1),Projects!$B$30/Projects!$D$30,"")</f>
        <v/>
      </c>
      <c r="CX36" s="567">
        <f>IF(AND(Projects!$C$30&lt;=CX$4,CX$4&lt;=Projects!$C$30+Projects!$D$30-1),Projects!$B$30/Projects!$D$30,"")</f>
        <v/>
      </c>
      <c r="CY36" s="567">
        <f>IF(AND(Projects!$C$30&lt;=CY$4,CY$4&lt;=Projects!$C$30+Projects!$D$30-1),Projects!$B$30/Projects!$D$30,"")</f>
        <v/>
      </c>
      <c r="CZ36" s="567">
        <f>IF(AND(Projects!$C$30&lt;=CZ$4,CZ$4&lt;=Projects!$C$30+Projects!$D$30-1),Projects!$B$30/Projects!$D$30,"")</f>
        <v/>
      </c>
      <c r="DA36" s="567">
        <f>IF(AND(Projects!$C$30&lt;=DA$4,DA$4&lt;=Projects!$C$30+Projects!$D$30-1),Projects!$B$30/Projects!$D$30,"")</f>
        <v/>
      </c>
      <c r="DB36" s="567">
        <f>IF(AND(Projects!$C$30&lt;=DB$4,DB$4&lt;=Projects!$C$30+Projects!$D$30-1),Projects!$B$30/Projects!$D$30,"")</f>
        <v/>
      </c>
    </row>
    <row r="37" ht="15" customFormat="1" customHeight="1" s="380">
      <c r="A37" s="563" t="inlineStr">
        <is>
          <t>BD-15</t>
        </is>
      </c>
      <c r="B37" s="564">
        <f>Projects!$B$31</f>
        <v/>
      </c>
      <c r="C37" s="565">
        <f>EDATE(Model!$E$2,Projects!$C$31-1)</f>
        <v/>
      </c>
      <c r="D37" s="565">
        <f>EDATE(Model!$E$2,Projects!$C$31+Projects!$D$31-2)</f>
        <v/>
      </c>
      <c r="E37" s="566">
        <f>Projects!$D$31</f>
        <v/>
      </c>
      <c r="F37" s="564">
        <f>Projects!$B$31/Projects!$D$31</f>
        <v/>
      </c>
      <c r="G37" s="567">
        <f>IF(AND(Projects!$C$31&lt;=G$4,G$4&lt;=Projects!$C$31+Projects!$D$31-1),Projects!$B$31/Projects!$D$31,"")</f>
        <v/>
      </c>
      <c r="H37" s="567">
        <f>IF(AND(Projects!$C$31&lt;=H$4,H$4&lt;=Projects!$C$31+Projects!$D$31-1),Projects!$B$31/Projects!$D$31,"")</f>
        <v/>
      </c>
      <c r="I37" s="567">
        <f>IF(AND(Projects!$C$31&lt;=I$4,I$4&lt;=Projects!$C$31+Projects!$D$31-1),Projects!$B$31/Projects!$D$31,"")</f>
        <v/>
      </c>
      <c r="J37" s="567">
        <f>IF(AND(Projects!$C$31&lt;=J$4,J$4&lt;=Projects!$C$31+Projects!$D$31-1),Projects!$B$31/Projects!$D$31,"")</f>
        <v/>
      </c>
      <c r="K37" s="567">
        <f>IF(AND(Projects!$C$31&lt;=K$4,K$4&lt;=Projects!$C$31+Projects!$D$31-1),Projects!$B$31/Projects!$D$31,"")</f>
        <v/>
      </c>
      <c r="L37" s="567">
        <f>IF(AND(Projects!$C$31&lt;=L$4,L$4&lt;=Projects!$C$31+Projects!$D$31-1),Projects!$B$31/Projects!$D$31,"")</f>
        <v/>
      </c>
      <c r="M37" s="567">
        <f>IF(AND(Projects!$C$31&lt;=M$4,M$4&lt;=Projects!$C$31+Projects!$D$31-1),Projects!$B$31/Projects!$D$31,"")</f>
        <v/>
      </c>
      <c r="N37" s="567">
        <f>IF(AND(Projects!$C$31&lt;=N$4,N$4&lt;=Projects!$C$31+Projects!$D$31-1),Projects!$B$31/Projects!$D$31,"")</f>
        <v/>
      </c>
      <c r="O37" s="567">
        <f>IF(AND(Projects!$C$31&lt;=O$4,O$4&lt;=Projects!$C$31+Projects!$D$31-1),Projects!$B$31/Projects!$D$31,"")</f>
        <v/>
      </c>
      <c r="P37" s="567">
        <f>IF(AND(Projects!$C$31&lt;=P$4,P$4&lt;=Projects!$C$31+Projects!$D$31-1),Projects!$B$31/Projects!$D$31,"")</f>
        <v/>
      </c>
      <c r="Q37" s="567">
        <f>IF(AND(Projects!$C$31&lt;=Q$4,Q$4&lt;=Projects!$C$31+Projects!$D$31-1),Projects!$B$31/Projects!$D$31,"")</f>
        <v/>
      </c>
      <c r="R37" s="567">
        <f>IF(AND(Projects!$C$31&lt;=R$4,R$4&lt;=Projects!$C$31+Projects!$D$31-1),Projects!$B$31/Projects!$D$31,"")</f>
        <v/>
      </c>
      <c r="S37" s="567">
        <f>IF(AND(Projects!$C$31&lt;=S$4,S$4&lt;=Projects!$C$31+Projects!$D$31-1),Projects!$B$31/Projects!$D$31,"")</f>
        <v/>
      </c>
      <c r="T37" s="567">
        <f>IF(AND(Projects!$C$31&lt;=T$4,T$4&lt;=Projects!$C$31+Projects!$D$31-1),Projects!$B$31/Projects!$D$31,"")</f>
        <v/>
      </c>
      <c r="U37" s="567">
        <f>IF(AND(Projects!$C$31&lt;=U$4,U$4&lt;=Projects!$C$31+Projects!$D$31-1),Projects!$B$31/Projects!$D$31,"")</f>
        <v/>
      </c>
      <c r="V37" s="567">
        <f>IF(AND(Projects!$C$31&lt;=V$4,V$4&lt;=Projects!$C$31+Projects!$D$31-1),Projects!$B$31/Projects!$D$31,"")</f>
        <v/>
      </c>
      <c r="W37" s="567">
        <f>IF(AND(Projects!$C$31&lt;=W$4,W$4&lt;=Projects!$C$31+Projects!$D$31-1),Projects!$B$31/Projects!$D$31,"")</f>
        <v/>
      </c>
      <c r="X37" s="567">
        <f>IF(AND(Projects!$C$31&lt;=X$4,X$4&lt;=Projects!$C$31+Projects!$D$31-1),Projects!$B$31/Projects!$D$31,"")</f>
        <v/>
      </c>
      <c r="Y37" s="567">
        <f>IF(AND(Projects!$C$31&lt;=Y$4,Y$4&lt;=Projects!$C$31+Projects!$D$31-1),Projects!$B$31/Projects!$D$31,"")</f>
        <v/>
      </c>
      <c r="Z37" s="567">
        <f>IF(AND(Projects!$C$31&lt;=Z$4,Z$4&lt;=Projects!$C$31+Projects!$D$31-1),Projects!$B$31/Projects!$D$31,"")</f>
        <v/>
      </c>
      <c r="AA37" s="567">
        <f>IF(AND(Projects!$C$31&lt;=AA$4,AA$4&lt;=Projects!$C$31+Projects!$D$31-1),Projects!$B$31/Projects!$D$31,"")</f>
        <v/>
      </c>
      <c r="AB37" s="567">
        <f>IF(AND(Projects!$C$31&lt;=AB$4,AB$4&lt;=Projects!$C$31+Projects!$D$31-1),Projects!$B$31/Projects!$D$31,"")</f>
        <v/>
      </c>
      <c r="AC37" s="567">
        <f>IF(AND(Projects!$C$31&lt;=AC$4,AC$4&lt;=Projects!$C$31+Projects!$D$31-1),Projects!$B$31/Projects!$D$31,"")</f>
        <v/>
      </c>
      <c r="AD37" s="567">
        <f>IF(AND(Projects!$C$31&lt;=AD$4,AD$4&lt;=Projects!$C$31+Projects!$D$31-1),Projects!$B$31/Projects!$D$31,"")</f>
        <v/>
      </c>
      <c r="AE37" s="567">
        <f>IF(AND(Projects!$C$31&lt;=AE$4,AE$4&lt;=Projects!$C$31+Projects!$D$31-1),Projects!$B$31/Projects!$D$31,"")</f>
        <v/>
      </c>
      <c r="AF37" s="567">
        <f>IF(AND(Projects!$C$31&lt;=AF$4,AF$4&lt;=Projects!$C$31+Projects!$D$31-1),Projects!$B$31/Projects!$D$31,"")</f>
        <v/>
      </c>
      <c r="AG37" s="567">
        <f>IF(AND(Projects!$C$31&lt;=AG$4,AG$4&lt;=Projects!$C$31+Projects!$D$31-1),Projects!$B$31/Projects!$D$31,"")</f>
        <v/>
      </c>
      <c r="AH37" s="567">
        <f>IF(AND(Projects!$C$31&lt;=AH$4,AH$4&lt;=Projects!$C$31+Projects!$D$31-1),Projects!$B$31/Projects!$D$31,"")</f>
        <v/>
      </c>
      <c r="AI37" s="567">
        <f>IF(AND(Projects!$C$31&lt;=AI$4,AI$4&lt;=Projects!$C$31+Projects!$D$31-1),Projects!$B$31/Projects!$D$31,"")</f>
        <v/>
      </c>
      <c r="AJ37" s="567">
        <f>IF(AND(Projects!$C$31&lt;=AJ$4,AJ$4&lt;=Projects!$C$31+Projects!$D$31-1),Projects!$B$31/Projects!$D$31,"")</f>
        <v/>
      </c>
      <c r="AK37" s="567">
        <f>IF(AND(Projects!$C$31&lt;=AK$4,AK$4&lt;=Projects!$C$31+Projects!$D$31-1),Projects!$B$31/Projects!$D$31,"")</f>
        <v/>
      </c>
      <c r="AL37" s="567">
        <f>IF(AND(Projects!$C$31&lt;=AL$4,AL$4&lt;=Projects!$C$31+Projects!$D$31-1),Projects!$B$31/Projects!$D$31,"")</f>
        <v/>
      </c>
      <c r="AM37" s="567">
        <f>IF(AND(Projects!$C$31&lt;=AM$4,AM$4&lt;=Projects!$C$31+Projects!$D$31-1),Projects!$B$31/Projects!$D$31,"")</f>
        <v/>
      </c>
      <c r="AN37" s="567">
        <f>IF(AND(Projects!$C$31&lt;=AN$4,AN$4&lt;=Projects!$C$31+Projects!$D$31-1),Projects!$B$31/Projects!$D$31,"")</f>
        <v/>
      </c>
      <c r="AO37" s="567">
        <f>IF(AND(Projects!$C$31&lt;=AO$4,AO$4&lt;=Projects!$C$31+Projects!$D$31-1),Projects!$B$31/Projects!$D$31,"")</f>
        <v/>
      </c>
      <c r="AP37" s="567">
        <f>IF(AND(Projects!$C$31&lt;=AP$4,AP$4&lt;=Projects!$C$31+Projects!$D$31-1),Projects!$B$31/Projects!$D$31,"")</f>
        <v/>
      </c>
      <c r="AQ37" s="567">
        <f>IF(AND(Projects!$C$31&lt;=AQ$4,AQ$4&lt;=Projects!$C$31+Projects!$D$31-1),Projects!$B$31/Projects!$D$31,"")</f>
        <v/>
      </c>
      <c r="AR37" s="567">
        <f>IF(AND(Projects!$C$31&lt;=AR$4,AR$4&lt;=Projects!$C$31+Projects!$D$31-1),Projects!$B$31/Projects!$D$31,"")</f>
        <v/>
      </c>
      <c r="AS37" s="567">
        <f>IF(AND(Projects!$C$31&lt;=AS$4,AS$4&lt;=Projects!$C$31+Projects!$D$31-1),Projects!$B$31/Projects!$D$31,"")</f>
        <v/>
      </c>
      <c r="AT37" s="567">
        <f>IF(AND(Projects!$C$31&lt;=AT$4,AT$4&lt;=Projects!$C$31+Projects!$D$31-1),Projects!$B$31/Projects!$D$31,"")</f>
        <v/>
      </c>
      <c r="AU37" s="567">
        <f>IF(AND(Projects!$C$31&lt;=AU$4,AU$4&lt;=Projects!$C$31+Projects!$D$31-1),Projects!$B$31/Projects!$D$31,"")</f>
        <v/>
      </c>
      <c r="AV37" s="567">
        <f>IF(AND(Projects!$C$31&lt;=AV$4,AV$4&lt;=Projects!$C$31+Projects!$D$31-1),Projects!$B$31/Projects!$D$31,"")</f>
        <v/>
      </c>
      <c r="AW37" s="567">
        <f>IF(AND(Projects!$C$31&lt;=AW$4,AW$4&lt;=Projects!$C$31+Projects!$D$31-1),Projects!$B$31/Projects!$D$31,"")</f>
        <v/>
      </c>
      <c r="AX37" s="567">
        <f>IF(AND(Projects!$C$31&lt;=AX$4,AX$4&lt;=Projects!$C$31+Projects!$D$31-1),Projects!$B$31/Projects!$D$31,"")</f>
        <v/>
      </c>
      <c r="AY37" s="567">
        <f>IF(AND(Projects!$C$31&lt;=AY$4,AY$4&lt;=Projects!$C$31+Projects!$D$31-1),Projects!$B$31/Projects!$D$31,"")</f>
        <v/>
      </c>
      <c r="AZ37" s="567">
        <f>IF(AND(Projects!$C$31&lt;=AZ$4,AZ$4&lt;=Projects!$C$31+Projects!$D$31-1),Projects!$B$31/Projects!$D$31,"")</f>
        <v/>
      </c>
      <c r="BA37" s="567">
        <f>IF(AND(Projects!$C$31&lt;=BA$4,BA$4&lt;=Projects!$C$31+Projects!$D$31-1),Projects!$B$31/Projects!$D$31,"")</f>
        <v/>
      </c>
      <c r="BB37" s="567">
        <f>IF(AND(Projects!$C$31&lt;=BB$4,BB$4&lt;=Projects!$C$31+Projects!$D$31-1),Projects!$B$31/Projects!$D$31,"")</f>
        <v/>
      </c>
      <c r="BC37" s="567">
        <f>IF(AND(Projects!$C$31&lt;=BC$4,BC$4&lt;=Projects!$C$31+Projects!$D$31-1),Projects!$B$31/Projects!$D$31,"")</f>
        <v/>
      </c>
      <c r="BD37" s="567">
        <f>IF(AND(Projects!$C$31&lt;=BD$4,BD$4&lt;=Projects!$C$31+Projects!$D$31-1),Projects!$B$31/Projects!$D$31,"")</f>
        <v/>
      </c>
      <c r="BE37" s="567">
        <f>IF(AND(Projects!$C$31&lt;=BE$4,BE$4&lt;=Projects!$C$31+Projects!$D$31-1),Projects!$B$31/Projects!$D$31,"")</f>
        <v/>
      </c>
      <c r="BF37" s="567">
        <f>IF(AND(Projects!$C$31&lt;=BF$4,BF$4&lt;=Projects!$C$31+Projects!$D$31-1),Projects!$B$31/Projects!$D$31,"")</f>
        <v/>
      </c>
      <c r="BG37" s="567">
        <f>IF(AND(Projects!$C$31&lt;=BG$4,BG$4&lt;=Projects!$C$31+Projects!$D$31-1),Projects!$B$31/Projects!$D$31,"")</f>
        <v/>
      </c>
      <c r="BH37" s="567">
        <f>IF(AND(Projects!$C$31&lt;=BH$4,BH$4&lt;=Projects!$C$31+Projects!$D$31-1),Projects!$B$31/Projects!$D$31,"")</f>
        <v/>
      </c>
      <c r="BI37" s="567">
        <f>IF(AND(Projects!$C$31&lt;=BI$4,BI$4&lt;=Projects!$C$31+Projects!$D$31-1),Projects!$B$31/Projects!$D$31,"")</f>
        <v/>
      </c>
      <c r="BJ37" s="567">
        <f>IF(AND(Projects!$C$31&lt;=BJ$4,BJ$4&lt;=Projects!$C$31+Projects!$D$31-1),Projects!$B$31/Projects!$D$31,"")</f>
        <v/>
      </c>
      <c r="BK37" s="567">
        <f>IF(AND(Projects!$C$31&lt;=BK$4,BK$4&lt;=Projects!$C$31+Projects!$D$31-1),Projects!$B$31/Projects!$D$31,"")</f>
        <v/>
      </c>
      <c r="BL37" s="567">
        <f>IF(AND(Projects!$C$31&lt;=BL$4,BL$4&lt;=Projects!$C$31+Projects!$D$31-1),Projects!$B$31/Projects!$D$31,"")</f>
        <v/>
      </c>
      <c r="BM37" s="567">
        <f>IF(AND(Projects!$C$31&lt;=BM$4,BM$4&lt;=Projects!$C$31+Projects!$D$31-1),Projects!$B$31/Projects!$D$31,"")</f>
        <v/>
      </c>
      <c r="BN37" s="567">
        <f>IF(AND(Projects!$C$31&lt;=BN$4,BN$4&lt;=Projects!$C$31+Projects!$D$31-1),Projects!$B$31/Projects!$D$31,"")</f>
        <v/>
      </c>
      <c r="BO37" s="567">
        <f>IF(AND(Projects!$C$31&lt;=BO$4,BO$4&lt;=Projects!$C$31+Projects!$D$31-1),Projects!$B$31/Projects!$D$31,"")</f>
        <v/>
      </c>
      <c r="BP37" s="567">
        <f>IF(AND(Projects!$C$31&lt;=BP$4,BP$4&lt;=Projects!$C$31+Projects!$D$31-1),Projects!$B$31/Projects!$D$31,"")</f>
        <v/>
      </c>
      <c r="BQ37" s="567">
        <f>IF(AND(Projects!$C$31&lt;=BQ$4,BQ$4&lt;=Projects!$C$31+Projects!$D$31-1),Projects!$B$31/Projects!$D$31,"")</f>
        <v/>
      </c>
      <c r="BR37" s="567">
        <f>IF(AND(Projects!$C$31&lt;=BR$4,BR$4&lt;=Projects!$C$31+Projects!$D$31-1),Projects!$B$31/Projects!$D$31,"")</f>
        <v/>
      </c>
      <c r="BS37" s="567">
        <f>IF(AND(Projects!$C$31&lt;=BS$4,BS$4&lt;=Projects!$C$31+Projects!$D$31-1),Projects!$B$31/Projects!$D$31,"")</f>
        <v/>
      </c>
      <c r="BT37" s="567">
        <f>IF(AND(Projects!$C$31&lt;=BT$4,BT$4&lt;=Projects!$C$31+Projects!$D$31-1),Projects!$B$31/Projects!$D$31,"")</f>
        <v/>
      </c>
      <c r="BU37" s="567">
        <f>IF(AND(Projects!$C$31&lt;=BU$4,BU$4&lt;=Projects!$C$31+Projects!$D$31-1),Projects!$B$31/Projects!$D$31,"")</f>
        <v/>
      </c>
      <c r="BV37" s="567">
        <f>IF(AND(Projects!$C$31&lt;=BV$4,BV$4&lt;=Projects!$C$31+Projects!$D$31-1),Projects!$B$31/Projects!$D$31,"")</f>
        <v/>
      </c>
      <c r="BW37" s="567">
        <f>IF(AND(Projects!$C$31&lt;=BW$4,BW$4&lt;=Projects!$C$31+Projects!$D$31-1),Projects!$B$31/Projects!$D$31,"")</f>
        <v/>
      </c>
      <c r="BX37" s="567">
        <f>IF(AND(Projects!$C$31&lt;=BX$4,BX$4&lt;=Projects!$C$31+Projects!$D$31-1),Projects!$B$31/Projects!$D$31,"")</f>
        <v/>
      </c>
      <c r="BY37" s="567">
        <f>IF(AND(Projects!$C$31&lt;=BY$4,BY$4&lt;=Projects!$C$31+Projects!$D$31-1),Projects!$B$31/Projects!$D$31,"")</f>
        <v/>
      </c>
      <c r="BZ37" s="567">
        <f>IF(AND(Projects!$C$31&lt;=BZ$4,BZ$4&lt;=Projects!$C$31+Projects!$D$31-1),Projects!$B$31/Projects!$D$31,"")</f>
        <v/>
      </c>
      <c r="CA37" s="567">
        <f>IF(AND(Projects!$C$31&lt;=CA$4,CA$4&lt;=Projects!$C$31+Projects!$D$31-1),Projects!$B$31/Projects!$D$31,"")</f>
        <v/>
      </c>
      <c r="CB37" s="567">
        <f>IF(AND(Projects!$C$31&lt;=CB$4,CB$4&lt;=Projects!$C$31+Projects!$D$31-1),Projects!$B$31/Projects!$D$31,"")</f>
        <v/>
      </c>
      <c r="CC37" s="567">
        <f>IF(AND(Projects!$C$31&lt;=CC$4,CC$4&lt;=Projects!$C$31+Projects!$D$31-1),Projects!$B$31/Projects!$D$31,"")</f>
        <v/>
      </c>
      <c r="CD37" s="567">
        <f>IF(AND(Projects!$C$31&lt;=CD$4,CD$4&lt;=Projects!$C$31+Projects!$D$31-1),Projects!$B$31/Projects!$D$31,"")</f>
        <v/>
      </c>
      <c r="CE37" s="567">
        <f>IF(AND(Projects!$C$31&lt;=CE$4,CE$4&lt;=Projects!$C$31+Projects!$D$31-1),Projects!$B$31/Projects!$D$31,"")</f>
        <v/>
      </c>
      <c r="CF37" s="567">
        <f>IF(AND(Projects!$C$31&lt;=CF$4,CF$4&lt;=Projects!$C$31+Projects!$D$31-1),Projects!$B$31/Projects!$D$31,"")</f>
        <v/>
      </c>
      <c r="CG37" s="567">
        <f>IF(AND(Projects!$C$31&lt;=CG$4,CG$4&lt;=Projects!$C$31+Projects!$D$31-1),Projects!$B$31/Projects!$D$31,"")</f>
        <v/>
      </c>
      <c r="CH37" s="567">
        <f>IF(AND(Projects!$C$31&lt;=CH$4,CH$4&lt;=Projects!$C$31+Projects!$D$31-1),Projects!$B$31/Projects!$D$31,"")</f>
        <v/>
      </c>
      <c r="CI37" s="567">
        <f>IF(AND(Projects!$C$31&lt;=CI$4,CI$4&lt;=Projects!$C$31+Projects!$D$31-1),Projects!$B$31/Projects!$D$31,"")</f>
        <v/>
      </c>
      <c r="CJ37" s="567">
        <f>IF(AND(Projects!$C$31&lt;=CJ$4,CJ$4&lt;=Projects!$C$31+Projects!$D$31-1),Projects!$B$31/Projects!$D$31,"")</f>
        <v/>
      </c>
      <c r="CK37" s="567">
        <f>IF(AND(Projects!$C$31&lt;=CK$4,CK$4&lt;=Projects!$C$31+Projects!$D$31-1),Projects!$B$31/Projects!$D$31,"")</f>
        <v/>
      </c>
      <c r="CL37" s="567">
        <f>IF(AND(Projects!$C$31&lt;=CL$4,CL$4&lt;=Projects!$C$31+Projects!$D$31-1),Projects!$B$31/Projects!$D$31,"")</f>
        <v/>
      </c>
      <c r="CM37" s="567">
        <f>IF(AND(Projects!$C$31&lt;=CM$4,CM$4&lt;=Projects!$C$31+Projects!$D$31-1),Projects!$B$31/Projects!$D$31,"")</f>
        <v/>
      </c>
      <c r="CN37" s="567">
        <f>IF(AND(Projects!$C$31&lt;=CN$4,CN$4&lt;=Projects!$C$31+Projects!$D$31-1),Projects!$B$31/Projects!$D$31,"")</f>
        <v/>
      </c>
      <c r="CO37" s="567">
        <f>IF(AND(Projects!$C$31&lt;=CO$4,CO$4&lt;=Projects!$C$31+Projects!$D$31-1),Projects!$B$31/Projects!$D$31,"")</f>
        <v/>
      </c>
      <c r="CP37" s="567">
        <f>IF(AND(Projects!$C$31&lt;=CP$4,CP$4&lt;=Projects!$C$31+Projects!$D$31-1),Projects!$B$31/Projects!$D$31,"")</f>
        <v/>
      </c>
      <c r="CQ37" s="567">
        <f>IF(AND(Projects!$C$31&lt;=CQ$4,CQ$4&lt;=Projects!$C$31+Projects!$D$31-1),Projects!$B$31/Projects!$D$31,"")</f>
        <v/>
      </c>
      <c r="CR37" s="567">
        <f>IF(AND(Projects!$C$31&lt;=CR$4,CR$4&lt;=Projects!$C$31+Projects!$D$31-1),Projects!$B$31/Projects!$D$31,"")</f>
        <v/>
      </c>
      <c r="CS37" s="567">
        <f>IF(AND(Projects!$C$31&lt;=CS$4,CS$4&lt;=Projects!$C$31+Projects!$D$31-1),Projects!$B$31/Projects!$D$31,"")</f>
        <v/>
      </c>
      <c r="CT37" s="567">
        <f>IF(AND(Projects!$C$31&lt;=CT$4,CT$4&lt;=Projects!$C$31+Projects!$D$31-1),Projects!$B$31/Projects!$D$31,"")</f>
        <v/>
      </c>
      <c r="CU37" s="567">
        <f>IF(AND(Projects!$C$31&lt;=CU$4,CU$4&lt;=Projects!$C$31+Projects!$D$31-1),Projects!$B$31/Projects!$D$31,"")</f>
        <v/>
      </c>
      <c r="CV37" s="567">
        <f>IF(AND(Projects!$C$31&lt;=CV$4,CV$4&lt;=Projects!$C$31+Projects!$D$31-1),Projects!$B$31/Projects!$D$31,"")</f>
        <v/>
      </c>
      <c r="CW37" s="567">
        <f>IF(AND(Projects!$C$31&lt;=CW$4,CW$4&lt;=Projects!$C$31+Projects!$D$31-1),Projects!$B$31/Projects!$D$31,"")</f>
        <v/>
      </c>
      <c r="CX37" s="567">
        <f>IF(AND(Projects!$C$31&lt;=CX$4,CX$4&lt;=Projects!$C$31+Projects!$D$31-1),Projects!$B$31/Projects!$D$31,"")</f>
        <v/>
      </c>
      <c r="CY37" s="567">
        <f>IF(AND(Projects!$C$31&lt;=CY$4,CY$4&lt;=Projects!$C$31+Projects!$D$31-1),Projects!$B$31/Projects!$D$31,"")</f>
        <v/>
      </c>
      <c r="CZ37" s="567">
        <f>IF(AND(Projects!$C$31&lt;=CZ$4,CZ$4&lt;=Projects!$C$31+Projects!$D$31-1),Projects!$B$31/Projects!$D$31,"")</f>
        <v/>
      </c>
      <c r="DA37" s="567">
        <f>IF(AND(Projects!$C$31&lt;=DA$4,DA$4&lt;=Projects!$C$31+Projects!$D$31-1),Projects!$B$31/Projects!$D$31,"")</f>
        <v/>
      </c>
      <c r="DB37" s="567">
        <f>IF(AND(Projects!$C$31&lt;=DB$4,DB$4&lt;=Projects!$C$31+Projects!$D$31-1),Projects!$B$31/Projects!$D$31,"")</f>
        <v/>
      </c>
    </row>
    <row r="38" ht="15" customFormat="1" customHeight="1" s="380">
      <c r="A38" s="563" t="inlineStr">
        <is>
          <t>BD-16</t>
        </is>
      </c>
      <c r="B38" s="564">
        <f>Projects!$B$32</f>
        <v/>
      </c>
      <c r="C38" s="565">
        <f>EDATE(Model!$E$2,Projects!$C$32-1)</f>
        <v/>
      </c>
      <c r="D38" s="565">
        <f>EDATE(Model!$E$2,Projects!$C$32+Projects!$D$32-2)</f>
        <v/>
      </c>
      <c r="E38" s="566">
        <f>Projects!$D$32</f>
        <v/>
      </c>
      <c r="F38" s="564">
        <f>Projects!$B$32/Projects!$D$32</f>
        <v/>
      </c>
      <c r="G38" s="567">
        <f>IF(AND(Projects!$C$32&lt;=G$4,G$4&lt;=Projects!$C$32+Projects!$D$32-1),Projects!$B$32/Projects!$D$32,"")</f>
        <v/>
      </c>
      <c r="H38" s="567">
        <f>IF(AND(Projects!$C$32&lt;=H$4,H$4&lt;=Projects!$C$32+Projects!$D$32-1),Projects!$B$32/Projects!$D$32,"")</f>
        <v/>
      </c>
      <c r="I38" s="567">
        <f>IF(AND(Projects!$C$32&lt;=I$4,I$4&lt;=Projects!$C$32+Projects!$D$32-1),Projects!$B$32/Projects!$D$32,"")</f>
        <v/>
      </c>
      <c r="J38" s="567">
        <f>IF(AND(Projects!$C$32&lt;=J$4,J$4&lt;=Projects!$C$32+Projects!$D$32-1),Projects!$B$32/Projects!$D$32,"")</f>
        <v/>
      </c>
      <c r="K38" s="567">
        <f>IF(AND(Projects!$C$32&lt;=K$4,K$4&lt;=Projects!$C$32+Projects!$D$32-1),Projects!$B$32/Projects!$D$32,"")</f>
        <v/>
      </c>
      <c r="L38" s="567">
        <f>IF(AND(Projects!$C$32&lt;=L$4,L$4&lt;=Projects!$C$32+Projects!$D$32-1),Projects!$B$32/Projects!$D$32,"")</f>
        <v/>
      </c>
      <c r="M38" s="567">
        <f>IF(AND(Projects!$C$32&lt;=M$4,M$4&lt;=Projects!$C$32+Projects!$D$32-1),Projects!$B$32/Projects!$D$32,"")</f>
        <v/>
      </c>
      <c r="N38" s="567">
        <f>IF(AND(Projects!$C$32&lt;=N$4,N$4&lt;=Projects!$C$32+Projects!$D$32-1),Projects!$B$32/Projects!$D$32,"")</f>
        <v/>
      </c>
      <c r="O38" s="567">
        <f>IF(AND(Projects!$C$32&lt;=O$4,O$4&lt;=Projects!$C$32+Projects!$D$32-1),Projects!$B$32/Projects!$D$32,"")</f>
        <v/>
      </c>
      <c r="P38" s="567">
        <f>IF(AND(Projects!$C$32&lt;=P$4,P$4&lt;=Projects!$C$32+Projects!$D$32-1),Projects!$B$32/Projects!$D$32,"")</f>
        <v/>
      </c>
      <c r="Q38" s="567">
        <f>IF(AND(Projects!$C$32&lt;=Q$4,Q$4&lt;=Projects!$C$32+Projects!$D$32-1),Projects!$B$32/Projects!$D$32,"")</f>
        <v/>
      </c>
      <c r="R38" s="567">
        <f>IF(AND(Projects!$C$32&lt;=R$4,R$4&lt;=Projects!$C$32+Projects!$D$32-1),Projects!$B$32/Projects!$D$32,"")</f>
        <v/>
      </c>
      <c r="S38" s="567">
        <f>IF(AND(Projects!$C$32&lt;=S$4,S$4&lt;=Projects!$C$32+Projects!$D$32-1),Projects!$B$32/Projects!$D$32,"")</f>
        <v/>
      </c>
      <c r="T38" s="567">
        <f>IF(AND(Projects!$C$32&lt;=T$4,T$4&lt;=Projects!$C$32+Projects!$D$32-1),Projects!$B$32/Projects!$D$32,"")</f>
        <v/>
      </c>
      <c r="U38" s="567">
        <f>IF(AND(Projects!$C$32&lt;=U$4,U$4&lt;=Projects!$C$32+Projects!$D$32-1),Projects!$B$32/Projects!$D$32,"")</f>
        <v/>
      </c>
      <c r="V38" s="567">
        <f>IF(AND(Projects!$C$32&lt;=V$4,V$4&lt;=Projects!$C$32+Projects!$D$32-1),Projects!$B$32/Projects!$D$32,"")</f>
        <v/>
      </c>
      <c r="W38" s="567">
        <f>IF(AND(Projects!$C$32&lt;=W$4,W$4&lt;=Projects!$C$32+Projects!$D$32-1),Projects!$B$32/Projects!$D$32,"")</f>
        <v/>
      </c>
      <c r="X38" s="567">
        <f>IF(AND(Projects!$C$32&lt;=X$4,X$4&lt;=Projects!$C$32+Projects!$D$32-1),Projects!$B$32/Projects!$D$32,"")</f>
        <v/>
      </c>
      <c r="Y38" s="567">
        <f>IF(AND(Projects!$C$32&lt;=Y$4,Y$4&lt;=Projects!$C$32+Projects!$D$32-1),Projects!$B$32/Projects!$D$32,"")</f>
        <v/>
      </c>
      <c r="Z38" s="567">
        <f>IF(AND(Projects!$C$32&lt;=Z$4,Z$4&lt;=Projects!$C$32+Projects!$D$32-1),Projects!$B$32/Projects!$D$32,"")</f>
        <v/>
      </c>
      <c r="AA38" s="567">
        <f>IF(AND(Projects!$C$32&lt;=AA$4,AA$4&lt;=Projects!$C$32+Projects!$D$32-1),Projects!$B$32/Projects!$D$32,"")</f>
        <v/>
      </c>
      <c r="AB38" s="567">
        <f>IF(AND(Projects!$C$32&lt;=AB$4,AB$4&lt;=Projects!$C$32+Projects!$D$32-1),Projects!$B$32/Projects!$D$32,"")</f>
        <v/>
      </c>
      <c r="AC38" s="567">
        <f>IF(AND(Projects!$C$32&lt;=AC$4,AC$4&lt;=Projects!$C$32+Projects!$D$32-1),Projects!$B$32/Projects!$D$32,"")</f>
        <v/>
      </c>
      <c r="AD38" s="567">
        <f>IF(AND(Projects!$C$32&lt;=AD$4,AD$4&lt;=Projects!$C$32+Projects!$D$32-1),Projects!$B$32/Projects!$D$32,"")</f>
        <v/>
      </c>
      <c r="AE38" s="567">
        <f>IF(AND(Projects!$C$32&lt;=AE$4,AE$4&lt;=Projects!$C$32+Projects!$D$32-1),Projects!$B$32/Projects!$D$32,"")</f>
        <v/>
      </c>
      <c r="AF38" s="567">
        <f>IF(AND(Projects!$C$32&lt;=AF$4,AF$4&lt;=Projects!$C$32+Projects!$D$32-1),Projects!$B$32/Projects!$D$32,"")</f>
        <v/>
      </c>
      <c r="AG38" s="567">
        <f>IF(AND(Projects!$C$32&lt;=AG$4,AG$4&lt;=Projects!$C$32+Projects!$D$32-1),Projects!$B$32/Projects!$D$32,"")</f>
        <v/>
      </c>
      <c r="AH38" s="567">
        <f>IF(AND(Projects!$C$32&lt;=AH$4,AH$4&lt;=Projects!$C$32+Projects!$D$32-1),Projects!$B$32/Projects!$D$32,"")</f>
        <v/>
      </c>
      <c r="AI38" s="567">
        <f>IF(AND(Projects!$C$32&lt;=AI$4,AI$4&lt;=Projects!$C$32+Projects!$D$32-1),Projects!$B$32/Projects!$D$32,"")</f>
        <v/>
      </c>
      <c r="AJ38" s="567">
        <f>IF(AND(Projects!$C$32&lt;=AJ$4,AJ$4&lt;=Projects!$C$32+Projects!$D$32-1),Projects!$B$32/Projects!$D$32,"")</f>
        <v/>
      </c>
      <c r="AK38" s="567">
        <f>IF(AND(Projects!$C$32&lt;=AK$4,AK$4&lt;=Projects!$C$32+Projects!$D$32-1),Projects!$B$32/Projects!$D$32,"")</f>
        <v/>
      </c>
      <c r="AL38" s="567">
        <f>IF(AND(Projects!$C$32&lt;=AL$4,AL$4&lt;=Projects!$C$32+Projects!$D$32-1),Projects!$B$32/Projects!$D$32,"")</f>
        <v/>
      </c>
      <c r="AM38" s="567">
        <f>IF(AND(Projects!$C$32&lt;=AM$4,AM$4&lt;=Projects!$C$32+Projects!$D$32-1),Projects!$B$32/Projects!$D$32,"")</f>
        <v/>
      </c>
      <c r="AN38" s="567">
        <f>IF(AND(Projects!$C$32&lt;=AN$4,AN$4&lt;=Projects!$C$32+Projects!$D$32-1),Projects!$B$32/Projects!$D$32,"")</f>
        <v/>
      </c>
      <c r="AO38" s="567">
        <f>IF(AND(Projects!$C$32&lt;=AO$4,AO$4&lt;=Projects!$C$32+Projects!$D$32-1),Projects!$B$32/Projects!$D$32,"")</f>
        <v/>
      </c>
      <c r="AP38" s="567">
        <f>IF(AND(Projects!$C$32&lt;=AP$4,AP$4&lt;=Projects!$C$32+Projects!$D$32-1),Projects!$B$32/Projects!$D$32,"")</f>
        <v/>
      </c>
      <c r="AQ38" s="567">
        <f>IF(AND(Projects!$C$32&lt;=AQ$4,AQ$4&lt;=Projects!$C$32+Projects!$D$32-1),Projects!$B$32/Projects!$D$32,"")</f>
        <v/>
      </c>
      <c r="AR38" s="567">
        <f>IF(AND(Projects!$C$32&lt;=AR$4,AR$4&lt;=Projects!$C$32+Projects!$D$32-1),Projects!$B$32/Projects!$D$32,"")</f>
        <v/>
      </c>
      <c r="AS38" s="567">
        <f>IF(AND(Projects!$C$32&lt;=AS$4,AS$4&lt;=Projects!$C$32+Projects!$D$32-1),Projects!$B$32/Projects!$D$32,"")</f>
        <v/>
      </c>
      <c r="AT38" s="567">
        <f>IF(AND(Projects!$C$32&lt;=AT$4,AT$4&lt;=Projects!$C$32+Projects!$D$32-1),Projects!$B$32/Projects!$D$32,"")</f>
        <v/>
      </c>
      <c r="AU38" s="567">
        <f>IF(AND(Projects!$C$32&lt;=AU$4,AU$4&lt;=Projects!$C$32+Projects!$D$32-1),Projects!$B$32/Projects!$D$32,"")</f>
        <v/>
      </c>
      <c r="AV38" s="567">
        <f>IF(AND(Projects!$C$32&lt;=AV$4,AV$4&lt;=Projects!$C$32+Projects!$D$32-1),Projects!$B$32/Projects!$D$32,"")</f>
        <v/>
      </c>
      <c r="AW38" s="567">
        <f>IF(AND(Projects!$C$32&lt;=AW$4,AW$4&lt;=Projects!$C$32+Projects!$D$32-1),Projects!$B$32/Projects!$D$32,"")</f>
        <v/>
      </c>
      <c r="AX38" s="567">
        <f>IF(AND(Projects!$C$32&lt;=AX$4,AX$4&lt;=Projects!$C$32+Projects!$D$32-1),Projects!$B$32/Projects!$D$32,"")</f>
        <v/>
      </c>
      <c r="AY38" s="567">
        <f>IF(AND(Projects!$C$32&lt;=AY$4,AY$4&lt;=Projects!$C$32+Projects!$D$32-1),Projects!$B$32/Projects!$D$32,"")</f>
        <v/>
      </c>
      <c r="AZ38" s="567">
        <f>IF(AND(Projects!$C$32&lt;=AZ$4,AZ$4&lt;=Projects!$C$32+Projects!$D$32-1),Projects!$B$32/Projects!$D$32,"")</f>
        <v/>
      </c>
      <c r="BA38" s="567">
        <f>IF(AND(Projects!$C$32&lt;=BA$4,BA$4&lt;=Projects!$C$32+Projects!$D$32-1),Projects!$B$32/Projects!$D$32,"")</f>
        <v/>
      </c>
      <c r="BB38" s="567">
        <f>IF(AND(Projects!$C$32&lt;=BB$4,BB$4&lt;=Projects!$C$32+Projects!$D$32-1),Projects!$B$32/Projects!$D$32,"")</f>
        <v/>
      </c>
      <c r="BC38" s="567">
        <f>IF(AND(Projects!$C$32&lt;=BC$4,BC$4&lt;=Projects!$C$32+Projects!$D$32-1),Projects!$B$32/Projects!$D$32,"")</f>
        <v/>
      </c>
      <c r="BD38" s="567">
        <f>IF(AND(Projects!$C$32&lt;=BD$4,BD$4&lt;=Projects!$C$32+Projects!$D$32-1),Projects!$B$32/Projects!$D$32,"")</f>
        <v/>
      </c>
      <c r="BE38" s="567">
        <f>IF(AND(Projects!$C$32&lt;=BE$4,BE$4&lt;=Projects!$C$32+Projects!$D$32-1),Projects!$B$32/Projects!$D$32,"")</f>
        <v/>
      </c>
      <c r="BF38" s="567">
        <f>IF(AND(Projects!$C$32&lt;=BF$4,BF$4&lt;=Projects!$C$32+Projects!$D$32-1),Projects!$B$32/Projects!$D$32,"")</f>
        <v/>
      </c>
      <c r="BG38" s="567">
        <f>IF(AND(Projects!$C$32&lt;=BG$4,BG$4&lt;=Projects!$C$32+Projects!$D$32-1),Projects!$B$32/Projects!$D$32,"")</f>
        <v/>
      </c>
      <c r="BH38" s="567">
        <f>IF(AND(Projects!$C$32&lt;=BH$4,BH$4&lt;=Projects!$C$32+Projects!$D$32-1),Projects!$B$32/Projects!$D$32,"")</f>
        <v/>
      </c>
      <c r="BI38" s="567">
        <f>IF(AND(Projects!$C$32&lt;=BI$4,BI$4&lt;=Projects!$C$32+Projects!$D$32-1),Projects!$B$32/Projects!$D$32,"")</f>
        <v/>
      </c>
      <c r="BJ38" s="567">
        <f>IF(AND(Projects!$C$32&lt;=BJ$4,BJ$4&lt;=Projects!$C$32+Projects!$D$32-1),Projects!$B$32/Projects!$D$32,"")</f>
        <v/>
      </c>
      <c r="BK38" s="567">
        <f>IF(AND(Projects!$C$32&lt;=BK$4,BK$4&lt;=Projects!$C$32+Projects!$D$32-1),Projects!$B$32/Projects!$D$32,"")</f>
        <v/>
      </c>
      <c r="BL38" s="567">
        <f>IF(AND(Projects!$C$32&lt;=BL$4,BL$4&lt;=Projects!$C$32+Projects!$D$32-1),Projects!$B$32/Projects!$D$32,"")</f>
        <v/>
      </c>
      <c r="BM38" s="567">
        <f>IF(AND(Projects!$C$32&lt;=BM$4,BM$4&lt;=Projects!$C$32+Projects!$D$32-1),Projects!$B$32/Projects!$D$32,"")</f>
        <v/>
      </c>
      <c r="BN38" s="567">
        <f>IF(AND(Projects!$C$32&lt;=BN$4,BN$4&lt;=Projects!$C$32+Projects!$D$32-1),Projects!$B$32/Projects!$D$32,"")</f>
        <v/>
      </c>
      <c r="BO38" s="567">
        <f>IF(AND(Projects!$C$32&lt;=BO$4,BO$4&lt;=Projects!$C$32+Projects!$D$32-1),Projects!$B$32/Projects!$D$32,"")</f>
        <v/>
      </c>
      <c r="BP38" s="567">
        <f>IF(AND(Projects!$C$32&lt;=BP$4,BP$4&lt;=Projects!$C$32+Projects!$D$32-1),Projects!$B$32/Projects!$D$32,"")</f>
        <v/>
      </c>
      <c r="BQ38" s="567">
        <f>IF(AND(Projects!$C$32&lt;=BQ$4,BQ$4&lt;=Projects!$C$32+Projects!$D$32-1),Projects!$B$32/Projects!$D$32,"")</f>
        <v/>
      </c>
      <c r="BR38" s="567">
        <f>IF(AND(Projects!$C$32&lt;=BR$4,BR$4&lt;=Projects!$C$32+Projects!$D$32-1),Projects!$B$32/Projects!$D$32,"")</f>
        <v/>
      </c>
      <c r="BS38" s="567">
        <f>IF(AND(Projects!$C$32&lt;=BS$4,BS$4&lt;=Projects!$C$32+Projects!$D$32-1),Projects!$B$32/Projects!$D$32,"")</f>
        <v/>
      </c>
      <c r="BT38" s="567">
        <f>IF(AND(Projects!$C$32&lt;=BT$4,BT$4&lt;=Projects!$C$32+Projects!$D$32-1),Projects!$B$32/Projects!$D$32,"")</f>
        <v/>
      </c>
      <c r="BU38" s="567">
        <f>IF(AND(Projects!$C$32&lt;=BU$4,BU$4&lt;=Projects!$C$32+Projects!$D$32-1),Projects!$B$32/Projects!$D$32,"")</f>
        <v/>
      </c>
      <c r="BV38" s="567">
        <f>IF(AND(Projects!$C$32&lt;=BV$4,BV$4&lt;=Projects!$C$32+Projects!$D$32-1),Projects!$B$32/Projects!$D$32,"")</f>
        <v/>
      </c>
      <c r="BW38" s="567">
        <f>IF(AND(Projects!$C$32&lt;=BW$4,BW$4&lt;=Projects!$C$32+Projects!$D$32-1),Projects!$B$32/Projects!$D$32,"")</f>
        <v/>
      </c>
      <c r="BX38" s="567">
        <f>IF(AND(Projects!$C$32&lt;=BX$4,BX$4&lt;=Projects!$C$32+Projects!$D$32-1),Projects!$B$32/Projects!$D$32,"")</f>
        <v/>
      </c>
      <c r="BY38" s="567">
        <f>IF(AND(Projects!$C$32&lt;=BY$4,BY$4&lt;=Projects!$C$32+Projects!$D$32-1),Projects!$B$32/Projects!$D$32,"")</f>
        <v/>
      </c>
      <c r="BZ38" s="567">
        <f>IF(AND(Projects!$C$32&lt;=BZ$4,BZ$4&lt;=Projects!$C$32+Projects!$D$32-1),Projects!$B$32/Projects!$D$32,"")</f>
        <v/>
      </c>
      <c r="CA38" s="567">
        <f>IF(AND(Projects!$C$32&lt;=CA$4,CA$4&lt;=Projects!$C$32+Projects!$D$32-1),Projects!$B$32/Projects!$D$32,"")</f>
        <v/>
      </c>
      <c r="CB38" s="567">
        <f>IF(AND(Projects!$C$32&lt;=CB$4,CB$4&lt;=Projects!$C$32+Projects!$D$32-1),Projects!$B$32/Projects!$D$32,"")</f>
        <v/>
      </c>
      <c r="CC38" s="567">
        <f>IF(AND(Projects!$C$32&lt;=CC$4,CC$4&lt;=Projects!$C$32+Projects!$D$32-1),Projects!$B$32/Projects!$D$32,"")</f>
        <v/>
      </c>
      <c r="CD38" s="567">
        <f>IF(AND(Projects!$C$32&lt;=CD$4,CD$4&lt;=Projects!$C$32+Projects!$D$32-1),Projects!$B$32/Projects!$D$32,"")</f>
        <v/>
      </c>
      <c r="CE38" s="567">
        <f>IF(AND(Projects!$C$32&lt;=CE$4,CE$4&lt;=Projects!$C$32+Projects!$D$32-1),Projects!$B$32/Projects!$D$32,"")</f>
        <v/>
      </c>
      <c r="CF38" s="567">
        <f>IF(AND(Projects!$C$32&lt;=CF$4,CF$4&lt;=Projects!$C$32+Projects!$D$32-1),Projects!$B$32/Projects!$D$32,"")</f>
        <v/>
      </c>
      <c r="CG38" s="567">
        <f>IF(AND(Projects!$C$32&lt;=CG$4,CG$4&lt;=Projects!$C$32+Projects!$D$32-1),Projects!$B$32/Projects!$D$32,"")</f>
        <v/>
      </c>
      <c r="CH38" s="567">
        <f>IF(AND(Projects!$C$32&lt;=CH$4,CH$4&lt;=Projects!$C$32+Projects!$D$32-1),Projects!$B$32/Projects!$D$32,"")</f>
        <v/>
      </c>
      <c r="CI38" s="567">
        <f>IF(AND(Projects!$C$32&lt;=CI$4,CI$4&lt;=Projects!$C$32+Projects!$D$32-1),Projects!$B$32/Projects!$D$32,"")</f>
        <v/>
      </c>
      <c r="CJ38" s="567">
        <f>IF(AND(Projects!$C$32&lt;=CJ$4,CJ$4&lt;=Projects!$C$32+Projects!$D$32-1),Projects!$B$32/Projects!$D$32,"")</f>
        <v/>
      </c>
      <c r="CK38" s="567">
        <f>IF(AND(Projects!$C$32&lt;=CK$4,CK$4&lt;=Projects!$C$32+Projects!$D$32-1),Projects!$B$32/Projects!$D$32,"")</f>
        <v/>
      </c>
      <c r="CL38" s="567">
        <f>IF(AND(Projects!$C$32&lt;=CL$4,CL$4&lt;=Projects!$C$32+Projects!$D$32-1),Projects!$B$32/Projects!$D$32,"")</f>
        <v/>
      </c>
      <c r="CM38" s="567">
        <f>IF(AND(Projects!$C$32&lt;=CM$4,CM$4&lt;=Projects!$C$32+Projects!$D$32-1),Projects!$B$32/Projects!$D$32,"")</f>
        <v/>
      </c>
      <c r="CN38" s="567">
        <f>IF(AND(Projects!$C$32&lt;=CN$4,CN$4&lt;=Projects!$C$32+Projects!$D$32-1),Projects!$B$32/Projects!$D$32,"")</f>
        <v/>
      </c>
      <c r="CO38" s="567">
        <f>IF(AND(Projects!$C$32&lt;=CO$4,CO$4&lt;=Projects!$C$32+Projects!$D$32-1),Projects!$B$32/Projects!$D$32,"")</f>
        <v/>
      </c>
      <c r="CP38" s="567">
        <f>IF(AND(Projects!$C$32&lt;=CP$4,CP$4&lt;=Projects!$C$32+Projects!$D$32-1),Projects!$B$32/Projects!$D$32,"")</f>
        <v/>
      </c>
      <c r="CQ38" s="567">
        <f>IF(AND(Projects!$C$32&lt;=CQ$4,CQ$4&lt;=Projects!$C$32+Projects!$D$32-1),Projects!$B$32/Projects!$D$32,"")</f>
        <v/>
      </c>
      <c r="CR38" s="567">
        <f>IF(AND(Projects!$C$32&lt;=CR$4,CR$4&lt;=Projects!$C$32+Projects!$D$32-1),Projects!$B$32/Projects!$D$32,"")</f>
        <v/>
      </c>
      <c r="CS38" s="567">
        <f>IF(AND(Projects!$C$32&lt;=CS$4,CS$4&lt;=Projects!$C$32+Projects!$D$32-1),Projects!$B$32/Projects!$D$32,"")</f>
        <v/>
      </c>
      <c r="CT38" s="567">
        <f>IF(AND(Projects!$C$32&lt;=CT$4,CT$4&lt;=Projects!$C$32+Projects!$D$32-1),Projects!$B$32/Projects!$D$32,"")</f>
        <v/>
      </c>
      <c r="CU38" s="567">
        <f>IF(AND(Projects!$C$32&lt;=CU$4,CU$4&lt;=Projects!$C$32+Projects!$D$32-1),Projects!$B$32/Projects!$D$32,"")</f>
        <v/>
      </c>
      <c r="CV38" s="567">
        <f>IF(AND(Projects!$C$32&lt;=CV$4,CV$4&lt;=Projects!$C$32+Projects!$D$32-1),Projects!$B$32/Projects!$D$32,"")</f>
        <v/>
      </c>
      <c r="CW38" s="567">
        <f>IF(AND(Projects!$C$32&lt;=CW$4,CW$4&lt;=Projects!$C$32+Projects!$D$32-1),Projects!$B$32/Projects!$D$32,"")</f>
        <v/>
      </c>
      <c r="CX38" s="567">
        <f>IF(AND(Projects!$C$32&lt;=CX$4,CX$4&lt;=Projects!$C$32+Projects!$D$32-1),Projects!$B$32/Projects!$D$32,"")</f>
        <v/>
      </c>
      <c r="CY38" s="567">
        <f>IF(AND(Projects!$C$32&lt;=CY$4,CY$4&lt;=Projects!$C$32+Projects!$D$32-1),Projects!$B$32/Projects!$D$32,"")</f>
        <v/>
      </c>
      <c r="CZ38" s="567">
        <f>IF(AND(Projects!$C$32&lt;=CZ$4,CZ$4&lt;=Projects!$C$32+Projects!$D$32-1),Projects!$B$32/Projects!$D$32,"")</f>
        <v/>
      </c>
      <c r="DA38" s="567">
        <f>IF(AND(Projects!$C$32&lt;=DA$4,DA$4&lt;=Projects!$C$32+Projects!$D$32-1),Projects!$B$32/Projects!$D$32,"")</f>
        <v/>
      </c>
      <c r="DB38" s="567">
        <f>IF(AND(Projects!$C$32&lt;=DB$4,DB$4&lt;=Projects!$C$32+Projects!$D$32-1),Projects!$B$32/Projects!$D$32,"")</f>
        <v/>
      </c>
    </row>
    <row r="39" ht="15" customFormat="1" customHeight="1" s="380">
      <c r="A39" s="563" t="inlineStr">
        <is>
          <t>BD-17</t>
        </is>
      </c>
      <c r="B39" s="564">
        <f>Projects!$B$33</f>
        <v/>
      </c>
      <c r="C39" s="565">
        <f>EDATE(Model!$E$2,Projects!$C$33-1)</f>
        <v/>
      </c>
      <c r="D39" s="565">
        <f>EDATE(Model!$E$2,Projects!$C$33+Projects!$D$33-2)</f>
        <v/>
      </c>
      <c r="E39" s="566">
        <f>Projects!$D$33</f>
        <v/>
      </c>
      <c r="F39" s="564">
        <f>Projects!$B$33/Projects!$D$33</f>
        <v/>
      </c>
      <c r="G39" s="567">
        <f>IF(AND(Projects!$C$33&lt;=G$4,G$4&lt;=Projects!$C$33+Projects!$D$33-1),Projects!$B$33/Projects!$D$33,"")</f>
        <v/>
      </c>
      <c r="H39" s="567">
        <f>IF(AND(Projects!$C$33&lt;=H$4,H$4&lt;=Projects!$C$33+Projects!$D$33-1),Projects!$B$33/Projects!$D$33,"")</f>
        <v/>
      </c>
      <c r="I39" s="567">
        <f>IF(AND(Projects!$C$33&lt;=I$4,I$4&lt;=Projects!$C$33+Projects!$D$33-1),Projects!$B$33/Projects!$D$33,"")</f>
        <v/>
      </c>
      <c r="J39" s="567">
        <f>IF(AND(Projects!$C$33&lt;=J$4,J$4&lt;=Projects!$C$33+Projects!$D$33-1),Projects!$B$33/Projects!$D$33,"")</f>
        <v/>
      </c>
      <c r="K39" s="567">
        <f>IF(AND(Projects!$C$33&lt;=K$4,K$4&lt;=Projects!$C$33+Projects!$D$33-1),Projects!$B$33/Projects!$D$33,"")</f>
        <v/>
      </c>
      <c r="L39" s="567">
        <f>IF(AND(Projects!$C$33&lt;=L$4,L$4&lt;=Projects!$C$33+Projects!$D$33-1),Projects!$B$33/Projects!$D$33,"")</f>
        <v/>
      </c>
      <c r="M39" s="567">
        <f>IF(AND(Projects!$C$33&lt;=M$4,M$4&lt;=Projects!$C$33+Projects!$D$33-1),Projects!$B$33/Projects!$D$33,"")</f>
        <v/>
      </c>
      <c r="N39" s="567">
        <f>IF(AND(Projects!$C$33&lt;=N$4,N$4&lt;=Projects!$C$33+Projects!$D$33-1),Projects!$B$33/Projects!$D$33,"")</f>
        <v/>
      </c>
      <c r="O39" s="567">
        <f>IF(AND(Projects!$C$33&lt;=O$4,O$4&lt;=Projects!$C$33+Projects!$D$33-1),Projects!$B$33/Projects!$D$33,"")</f>
        <v/>
      </c>
      <c r="P39" s="567">
        <f>IF(AND(Projects!$C$33&lt;=P$4,P$4&lt;=Projects!$C$33+Projects!$D$33-1),Projects!$B$33/Projects!$D$33,"")</f>
        <v/>
      </c>
      <c r="Q39" s="567">
        <f>IF(AND(Projects!$C$33&lt;=Q$4,Q$4&lt;=Projects!$C$33+Projects!$D$33-1),Projects!$B$33/Projects!$D$33,"")</f>
        <v/>
      </c>
      <c r="R39" s="567">
        <f>IF(AND(Projects!$C$33&lt;=R$4,R$4&lt;=Projects!$C$33+Projects!$D$33-1),Projects!$B$33/Projects!$D$33,"")</f>
        <v/>
      </c>
      <c r="S39" s="567">
        <f>IF(AND(Projects!$C$33&lt;=S$4,S$4&lt;=Projects!$C$33+Projects!$D$33-1),Projects!$B$33/Projects!$D$33,"")</f>
        <v/>
      </c>
      <c r="T39" s="567">
        <f>IF(AND(Projects!$C$33&lt;=T$4,T$4&lt;=Projects!$C$33+Projects!$D$33-1),Projects!$B$33/Projects!$D$33,"")</f>
        <v/>
      </c>
      <c r="U39" s="567">
        <f>IF(AND(Projects!$C$33&lt;=U$4,U$4&lt;=Projects!$C$33+Projects!$D$33-1),Projects!$B$33/Projects!$D$33,"")</f>
        <v/>
      </c>
      <c r="V39" s="567">
        <f>IF(AND(Projects!$C$33&lt;=V$4,V$4&lt;=Projects!$C$33+Projects!$D$33-1),Projects!$B$33/Projects!$D$33,"")</f>
        <v/>
      </c>
      <c r="W39" s="567">
        <f>IF(AND(Projects!$C$33&lt;=W$4,W$4&lt;=Projects!$C$33+Projects!$D$33-1),Projects!$B$33/Projects!$D$33,"")</f>
        <v/>
      </c>
      <c r="X39" s="567">
        <f>IF(AND(Projects!$C$33&lt;=X$4,X$4&lt;=Projects!$C$33+Projects!$D$33-1),Projects!$B$33/Projects!$D$33,"")</f>
        <v/>
      </c>
      <c r="Y39" s="567">
        <f>IF(AND(Projects!$C$33&lt;=Y$4,Y$4&lt;=Projects!$C$33+Projects!$D$33-1),Projects!$B$33/Projects!$D$33,"")</f>
        <v/>
      </c>
      <c r="Z39" s="567">
        <f>IF(AND(Projects!$C$33&lt;=Z$4,Z$4&lt;=Projects!$C$33+Projects!$D$33-1),Projects!$B$33/Projects!$D$33,"")</f>
        <v/>
      </c>
      <c r="AA39" s="567">
        <f>IF(AND(Projects!$C$33&lt;=AA$4,AA$4&lt;=Projects!$C$33+Projects!$D$33-1),Projects!$B$33/Projects!$D$33,"")</f>
        <v/>
      </c>
      <c r="AB39" s="567">
        <f>IF(AND(Projects!$C$33&lt;=AB$4,AB$4&lt;=Projects!$C$33+Projects!$D$33-1),Projects!$B$33/Projects!$D$33,"")</f>
        <v/>
      </c>
      <c r="AC39" s="567">
        <f>IF(AND(Projects!$C$33&lt;=AC$4,AC$4&lt;=Projects!$C$33+Projects!$D$33-1),Projects!$B$33/Projects!$D$33,"")</f>
        <v/>
      </c>
      <c r="AD39" s="567">
        <f>IF(AND(Projects!$C$33&lt;=AD$4,AD$4&lt;=Projects!$C$33+Projects!$D$33-1),Projects!$B$33/Projects!$D$33,"")</f>
        <v/>
      </c>
      <c r="AE39" s="567">
        <f>IF(AND(Projects!$C$33&lt;=AE$4,AE$4&lt;=Projects!$C$33+Projects!$D$33-1),Projects!$B$33/Projects!$D$33,"")</f>
        <v/>
      </c>
      <c r="AF39" s="567">
        <f>IF(AND(Projects!$C$33&lt;=AF$4,AF$4&lt;=Projects!$C$33+Projects!$D$33-1),Projects!$B$33/Projects!$D$33,"")</f>
        <v/>
      </c>
      <c r="AG39" s="567">
        <f>IF(AND(Projects!$C$33&lt;=AG$4,AG$4&lt;=Projects!$C$33+Projects!$D$33-1),Projects!$B$33/Projects!$D$33,"")</f>
        <v/>
      </c>
      <c r="AH39" s="567">
        <f>IF(AND(Projects!$C$33&lt;=AH$4,AH$4&lt;=Projects!$C$33+Projects!$D$33-1),Projects!$B$33/Projects!$D$33,"")</f>
        <v/>
      </c>
      <c r="AI39" s="567">
        <f>IF(AND(Projects!$C$33&lt;=AI$4,AI$4&lt;=Projects!$C$33+Projects!$D$33-1),Projects!$B$33/Projects!$D$33,"")</f>
        <v/>
      </c>
      <c r="AJ39" s="567">
        <f>IF(AND(Projects!$C$33&lt;=AJ$4,AJ$4&lt;=Projects!$C$33+Projects!$D$33-1),Projects!$B$33/Projects!$D$33,"")</f>
        <v/>
      </c>
      <c r="AK39" s="567">
        <f>IF(AND(Projects!$C$33&lt;=AK$4,AK$4&lt;=Projects!$C$33+Projects!$D$33-1),Projects!$B$33/Projects!$D$33,"")</f>
        <v/>
      </c>
      <c r="AL39" s="567">
        <f>IF(AND(Projects!$C$33&lt;=AL$4,AL$4&lt;=Projects!$C$33+Projects!$D$33-1),Projects!$B$33/Projects!$D$33,"")</f>
        <v/>
      </c>
      <c r="AM39" s="567">
        <f>IF(AND(Projects!$C$33&lt;=AM$4,AM$4&lt;=Projects!$C$33+Projects!$D$33-1),Projects!$B$33/Projects!$D$33,"")</f>
        <v/>
      </c>
      <c r="AN39" s="567">
        <f>IF(AND(Projects!$C$33&lt;=AN$4,AN$4&lt;=Projects!$C$33+Projects!$D$33-1),Projects!$B$33/Projects!$D$33,"")</f>
        <v/>
      </c>
      <c r="AO39" s="567">
        <f>IF(AND(Projects!$C$33&lt;=AO$4,AO$4&lt;=Projects!$C$33+Projects!$D$33-1),Projects!$B$33/Projects!$D$33,"")</f>
        <v/>
      </c>
      <c r="AP39" s="567">
        <f>IF(AND(Projects!$C$33&lt;=AP$4,AP$4&lt;=Projects!$C$33+Projects!$D$33-1),Projects!$B$33/Projects!$D$33,"")</f>
        <v/>
      </c>
      <c r="AQ39" s="567">
        <f>IF(AND(Projects!$C$33&lt;=AQ$4,AQ$4&lt;=Projects!$C$33+Projects!$D$33-1),Projects!$B$33/Projects!$D$33,"")</f>
        <v/>
      </c>
      <c r="AR39" s="567">
        <f>IF(AND(Projects!$C$33&lt;=AR$4,AR$4&lt;=Projects!$C$33+Projects!$D$33-1),Projects!$B$33/Projects!$D$33,"")</f>
        <v/>
      </c>
      <c r="AS39" s="567">
        <f>IF(AND(Projects!$C$33&lt;=AS$4,AS$4&lt;=Projects!$C$33+Projects!$D$33-1),Projects!$B$33/Projects!$D$33,"")</f>
        <v/>
      </c>
      <c r="AT39" s="567">
        <f>IF(AND(Projects!$C$33&lt;=AT$4,AT$4&lt;=Projects!$C$33+Projects!$D$33-1),Projects!$B$33/Projects!$D$33,"")</f>
        <v/>
      </c>
      <c r="AU39" s="567">
        <f>IF(AND(Projects!$C$33&lt;=AU$4,AU$4&lt;=Projects!$C$33+Projects!$D$33-1),Projects!$B$33/Projects!$D$33,"")</f>
        <v/>
      </c>
      <c r="AV39" s="567">
        <f>IF(AND(Projects!$C$33&lt;=AV$4,AV$4&lt;=Projects!$C$33+Projects!$D$33-1),Projects!$B$33/Projects!$D$33,"")</f>
        <v/>
      </c>
      <c r="AW39" s="567">
        <f>IF(AND(Projects!$C$33&lt;=AW$4,AW$4&lt;=Projects!$C$33+Projects!$D$33-1),Projects!$B$33/Projects!$D$33,"")</f>
        <v/>
      </c>
      <c r="AX39" s="567">
        <f>IF(AND(Projects!$C$33&lt;=AX$4,AX$4&lt;=Projects!$C$33+Projects!$D$33-1),Projects!$B$33/Projects!$D$33,"")</f>
        <v/>
      </c>
      <c r="AY39" s="567">
        <f>IF(AND(Projects!$C$33&lt;=AY$4,AY$4&lt;=Projects!$C$33+Projects!$D$33-1),Projects!$B$33/Projects!$D$33,"")</f>
        <v/>
      </c>
      <c r="AZ39" s="567">
        <f>IF(AND(Projects!$C$33&lt;=AZ$4,AZ$4&lt;=Projects!$C$33+Projects!$D$33-1),Projects!$B$33/Projects!$D$33,"")</f>
        <v/>
      </c>
      <c r="BA39" s="567">
        <f>IF(AND(Projects!$C$33&lt;=BA$4,BA$4&lt;=Projects!$C$33+Projects!$D$33-1),Projects!$B$33/Projects!$D$33,"")</f>
        <v/>
      </c>
      <c r="BB39" s="567">
        <f>IF(AND(Projects!$C$33&lt;=BB$4,BB$4&lt;=Projects!$C$33+Projects!$D$33-1),Projects!$B$33/Projects!$D$33,"")</f>
        <v/>
      </c>
      <c r="BC39" s="567">
        <f>IF(AND(Projects!$C$33&lt;=BC$4,BC$4&lt;=Projects!$C$33+Projects!$D$33-1),Projects!$B$33/Projects!$D$33,"")</f>
        <v/>
      </c>
      <c r="BD39" s="567">
        <f>IF(AND(Projects!$C$33&lt;=BD$4,BD$4&lt;=Projects!$C$33+Projects!$D$33-1),Projects!$B$33/Projects!$D$33,"")</f>
        <v/>
      </c>
      <c r="BE39" s="567">
        <f>IF(AND(Projects!$C$33&lt;=BE$4,BE$4&lt;=Projects!$C$33+Projects!$D$33-1),Projects!$B$33/Projects!$D$33,"")</f>
        <v/>
      </c>
      <c r="BF39" s="567">
        <f>IF(AND(Projects!$C$33&lt;=BF$4,BF$4&lt;=Projects!$C$33+Projects!$D$33-1),Projects!$B$33/Projects!$D$33,"")</f>
        <v/>
      </c>
      <c r="BG39" s="567">
        <f>IF(AND(Projects!$C$33&lt;=BG$4,BG$4&lt;=Projects!$C$33+Projects!$D$33-1),Projects!$B$33/Projects!$D$33,"")</f>
        <v/>
      </c>
      <c r="BH39" s="567">
        <f>IF(AND(Projects!$C$33&lt;=BH$4,BH$4&lt;=Projects!$C$33+Projects!$D$33-1),Projects!$B$33/Projects!$D$33,"")</f>
        <v/>
      </c>
      <c r="BI39" s="567">
        <f>IF(AND(Projects!$C$33&lt;=BI$4,BI$4&lt;=Projects!$C$33+Projects!$D$33-1),Projects!$B$33/Projects!$D$33,"")</f>
        <v/>
      </c>
      <c r="BJ39" s="567">
        <f>IF(AND(Projects!$C$33&lt;=BJ$4,BJ$4&lt;=Projects!$C$33+Projects!$D$33-1),Projects!$B$33/Projects!$D$33,"")</f>
        <v/>
      </c>
      <c r="BK39" s="567">
        <f>IF(AND(Projects!$C$33&lt;=BK$4,BK$4&lt;=Projects!$C$33+Projects!$D$33-1),Projects!$B$33/Projects!$D$33,"")</f>
        <v/>
      </c>
      <c r="BL39" s="567">
        <f>IF(AND(Projects!$C$33&lt;=BL$4,BL$4&lt;=Projects!$C$33+Projects!$D$33-1),Projects!$B$33/Projects!$D$33,"")</f>
        <v/>
      </c>
      <c r="BM39" s="567">
        <f>IF(AND(Projects!$C$33&lt;=BM$4,BM$4&lt;=Projects!$C$33+Projects!$D$33-1),Projects!$B$33/Projects!$D$33,"")</f>
        <v/>
      </c>
      <c r="BN39" s="567">
        <f>IF(AND(Projects!$C$33&lt;=BN$4,BN$4&lt;=Projects!$C$33+Projects!$D$33-1),Projects!$B$33/Projects!$D$33,"")</f>
        <v/>
      </c>
      <c r="BO39" s="567">
        <f>IF(AND(Projects!$C$33&lt;=BO$4,BO$4&lt;=Projects!$C$33+Projects!$D$33-1),Projects!$B$33/Projects!$D$33,"")</f>
        <v/>
      </c>
      <c r="BP39" s="567">
        <f>IF(AND(Projects!$C$33&lt;=BP$4,BP$4&lt;=Projects!$C$33+Projects!$D$33-1),Projects!$B$33/Projects!$D$33,"")</f>
        <v/>
      </c>
      <c r="BQ39" s="567">
        <f>IF(AND(Projects!$C$33&lt;=BQ$4,BQ$4&lt;=Projects!$C$33+Projects!$D$33-1),Projects!$B$33/Projects!$D$33,"")</f>
        <v/>
      </c>
      <c r="BR39" s="567">
        <f>IF(AND(Projects!$C$33&lt;=BR$4,BR$4&lt;=Projects!$C$33+Projects!$D$33-1),Projects!$B$33/Projects!$D$33,"")</f>
        <v/>
      </c>
      <c r="BS39" s="567">
        <f>IF(AND(Projects!$C$33&lt;=BS$4,BS$4&lt;=Projects!$C$33+Projects!$D$33-1),Projects!$B$33/Projects!$D$33,"")</f>
        <v/>
      </c>
      <c r="BT39" s="567">
        <f>IF(AND(Projects!$C$33&lt;=BT$4,BT$4&lt;=Projects!$C$33+Projects!$D$33-1),Projects!$B$33/Projects!$D$33,"")</f>
        <v/>
      </c>
      <c r="BU39" s="567">
        <f>IF(AND(Projects!$C$33&lt;=BU$4,BU$4&lt;=Projects!$C$33+Projects!$D$33-1),Projects!$B$33/Projects!$D$33,"")</f>
        <v/>
      </c>
      <c r="BV39" s="567">
        <f>IF(AND(Projects!$C$33&lt;=BV$4,BV$4&lt;=Projects!$C$33+Projects!$D$33-1),Projects!$B$33/Projects!$D$33,"")</f>
        <v/>
      </c>
      <c r="BW39" s="567">
        <f>IF(AND(Projects!$C$33&lt;=BW$4,BW$4&lt;=Projects!$C$33+Projects!$D$33-1),Projects!$B$33/Projects!$D$33,"")</f>
        <v/>
      </c>
      <c r="BX39" s="567">
        <f>IF(AND(Projects!$C$33&lt;=BX$4,BX$4&lt;=Projects!$C$33+Projects!$D$33-1),Projects!$B$33/Projects!$D$33,"")</f>
        <v/>
      </c>
      <c r="BY39" s="567">
        <f>IF(AND(Projects!$C$33&lt;=BY$4,BY$4&lt;=Projects!$C$33+Projects!$D$33-1),Projects!$B$33/Projects!$D$33,"")</f>
        <v/>
      </c>
      <c r="BZ39" s="567">
        <f>IF(AND(Projects!$C$33&lt;=BZ$4,BZ$4&lt;=Projects!$C$33+Projects!$D$33-1),Projects!$B$33/Projects!$D$33,"")</f>
        <v/>
      </c>
      <c r="CA39" s="567">
        <f>IF(AND(Projects!$C$33&lt;=CA$4,CA$4&lt;=Projects!$C$33+Projects!$D$33-1),Projects!$B$33/Projects!$D$33,"")</f>
        <v/>
      </c>
      <c r="CB39" s="567">
        <f>IF(AND(Projects!$C$33&lt;=CB$4,CB$4&lt;=Projects!$C$33+Projects!$D$33-1),Projects!$B$33/Projects!$D$33,"")</f>
        <v/>
      </c>
      <c r="CC39" s="567">
        <f>IF(AND(Projects!$C$33&lt;=CC$4,CC$4&lt;=Projects!$C$33+Projects!$D$33-1),Projects!$B$33/Projects!$D$33,"")</f>
        <v/>
      </c>
      <c r="CD39" s="567">
        <f>IF(AND(Projects!$C$33&lt;=CD$4,CD$4&lt;=Projects!$C$33+Projects!$D$33-1),Projects!$B$33/Projects!$D$33,"")</f>
        <v/>
      </c>
      <c r="CE39" s="567">
        <f>IF(AND(Projects!$C$33&lt;=CE$4,CE$4&lt;=Projects!$C$33+Projects!$D$33-1),Projects!$B$33/Projects!$D$33,"")</f>
        <v/>
      </c>
      <c r="CF39" s="567">
        <f>IF(AND(Projects!$C$33&lt;=CF$4,CF$4&lt;=Projects!$C$33+Projects!$D$33-1),Projects!$B$33/Projects!$D$33,"")</f>
        <v/>
      </c>
      <c r="CG39" s="567">
        <f>IF(AND(Projects!$C$33&lt;=CG$4,CG$4&lt;=Projects!$C$33+Projects!$D$33-1),Projects!$B$33/Projects!$D$33,"")</f>
        <v/>
      </c>
      <c r="CH39" s="567">
        <f>IF(AND(Projects!$C$33&lt;=CH$4,CH$4&lt;=Projects!$C$33+Projects!$D$33-1),Projects!$B$33/Projects!$D$33,"")</f>
        <v/>
      </c>
      <c r="CI39" s="567">
        <f>IF(AND(Projects!$C$33&lt;=CI$4,CI$4&lt;=Projects!$C$33+Projects!$D$33-1),Projects!$B$33/Projects!$D$33,"")</f>
        <v/>
      </c>
      <c r="CJ39" s="567">
        <f>IF(AND(Projects!$C$33&lt;=CJ$4,CJ$4&lt;=Projects!$C$33+Projects!$D$33-1),Projects!$B$33/Projects!$D$33,"")</f>
        <v/>
      </c>
      <c r="CK39" s="567">
        <f>IF(AND(Projects!$C$33&lt;=CK$4,CK$4&lt;=Projects!$C$33+Projects!$D$33-1),Projects!$B$33/Projects!$D$33,"")</f>
        <v/>
      </c>
      <c r="CL39" s="567">
        <f>IF(AND(Projects!$C$33&lt;=CL$4,CL$4&lt;=Projects!$C$33+Projects!$D$33-1),Projects!$B$33/Projects!$D$33,"")</f>
        <v/>
      </c>
      <c r="CM39" s="567">
        <f>IF(AND(Projects!$C$33&lt;=CM$4,CM$4&lt;=Projects!$C$33+Projects!$D$33-1),Projects!$B$33/Projects!$D$33,"")</f>
        <v/>
      </c>
      <c r="CN39" s="567">
        <f>IF(AND(Projects!$C$33&lt;=CN$4,CN$4&lt;=Projects!$C$33+Projects!$D$33-1),Projects!$B$33/Projects!$D$33,"")</f>
        <v/>
      </c>
      <c r="CO39" s="567">
        <f>IF(AND(Projects!$C$33&lt;=CO$4,CO$4&lt;=Projects!$C$33+Projects!$D$33-1),Projects!$B$33/Projects!$D$33,"")</f>
        <v/>
      </c>
      <c r="CP39" s="567">
        <f>IF(AND(Projects!$C$33&lt;=CP$4,CP$4&lt;=Projects!$C$33+Projects!$D$33-1),Projects!$B$33/Projects!$D$33,"")</f>
        <v/>
      </c>
      <c r="CQ39" s="567">
        <f>IF(AND(Projects!$C$33&lt;=CQ$4,CQ$4&lt;=Projects!$C$33+Projects!$D$33-1),Projects!$B$33/Projects!$D$33,"")</f>
        <v/>
      </c>
      <c r="CR39" s="567">
        <f>IF(AND(Projects!$C$33&lt;=CR$4,CR$4&lt;=Projects!$C$33+Projects!$D$33-1),Projects!$B$33/Projects!$D$33,"")</f>
        <v/>
      </c>
      <c r="CS39" s="567">
        <f>IF(AND(Projects!$C$33&lt;=CS$4,CS$4&lt;=Projects!$C$33+Projects!$D$33-1),Projects!$B$33/Projects!$D$33,"")</f>
        <v/>
      </c>
      <c r="CT39" s="567">
        <f>IF(AND(Projects!$C$33&lt;=CT$4,CT$4&lt;=Projects!$C$33+Projects!$D$33-1),Projects!$B$33/Projects!$D$33,"")</f>
        <v/>
      </c>
      <c r="CU39" s="567">
        <f>IF(AND(Projects!$C$33&lt;=CU$4,CU$4&lt;=Projects!$C$33+Projects!$D$33-1),Projects!$B$33/Projects!$D$33,"")</f>
        <v/>
      </c>
      <c r="CV39" s="567">
        <f>IF(AND(Projects!$C$33&lt;=CV$4,CV$4&lt;=Projects!$C$33+Projects!$D$33-1),Projects!$B$33/Projects!$D$33,"")</f>
        <v/>
      </c>
      <c r="CW39" s="567">
        <f>IF(AND(Projects!$C$33&lt;=CW$4,CW$4&lt;=Projects!$C$33+Projects!$D$33-1),Projects!$B$33/Projects!$D$33,"")</f>
        <v/>
      </c>
      <c r="CX39" s="567">
        <f>IF(AND(Projects!$C$33&lt;=CX$4,CX$4&lt;=Projects!$C$33+Projects!$D$33-1),Projects!$B$33/Projects!$D$33,"")</f>
        <v/>
      </c>
      <c r="CY39" s="567">
        <f>IF(AND(Projects!$C$33&lt;=CY$4,CY$4&lt;=Projects!$C$33+Projects!$D$33-1),Projects!$B$33/Projects!$D$33,"")</f>
        <v/>
      </c>
      <c r="CZ39" s="567">
        <f>IF(AND(Projects!$C$33&lt;=CZ$4,CZ$4&lt;=Projects!$C$33+Projects!$D$33-1),Projects!$B$33/Projects!$D$33,"")</f>
        <v/>
      </c>
      <c r="DA39" s="567">
        <f>IF(AND(Projects!$C$33&lt;=DA$4,DA$4&lt;=Projects!$C$33+Projects!$D$33-1),Projects!$B$33/Projects!$D$33,"")</f>
        <v/>
      </c>
      <c r="DB39" s="567">
        <f>IF(AND(Projects!$C$33&lt;=DB$4,DB$4&lt;=Projects!$C$33+Projects!$D$33-1),Projects!$B$33/Projects!$D$33,"")</f>
        <v/>
      </c>
    </row>
    <row r="40" ht="15" customFormat="1" customHeight="1" s="380">
      <c r="A40" s="563" t="inlineStr">
        <is>
          <t>BD-18</t>
        </is>
      </c>
      <c r="B40" s="564">
        <f>Projects!$B$34</f>
        <v/>
      </c>
      <c r="C40" s="565">
        <f>EDATE(Model!$E$2,Projects!$C$34-1)</f>
        <v/>
      </c>
      <c r="D40" s="565">
        <f>EDATE(Model!$E$2,Projects!$C$34+Projects!$D$34-2)</f>
        <v/>
      </c>
      <c r="E40" s="566">
        <f>Projects!$D$34</f>
        <v/>
      </c>
      <c r="F40" s="564">
        <f>Projects!$B$34/Projects!$D$34</f>
        <v/>
      </c>
      <c r="G40" s="567">
        <f>IF(AND(Projects!$C$34&lt;=G$4,G$4&lt;=Projects!$C$34+Projects!$D$34-1),Projects!$B$34/Projects!$D$34,"")</f>
        <v/>
      </c>
      <c r="H40" s="567">
        <f>IF(AND(Projects!$C$34&lt;=H$4,H$4&lt;=Projects!$C$34+Projects!$D$34-1),Projects!$B$34/Projects!$D$34,"")</f>
        <v/>
      </c>
      <c r="I40" s="567">
        <f>IF(AND(Projects!$C$34&lt;=I$4,I$4&lt;=Projects!$C$34+Projects!$D$34-1),Projects!$B$34/Projects!$D$34,"")</f>
        <v/>
      </c>
      <c r="J40" s="567">
        <f>IF(AND(Projects!$C$34&lt;=J$4,J$4&lt;=Projects!$C$34+Projects!$D$34-1),Projects!$B$34/Projects!$D$34,"")</f>
        <v/>
      </c>
      <c r="K40" s="567">
        <f>IF(AND(Projects!$C$34&lt;=K$4,K$4&lt;=Projects!$C$34+Projects!$D$34-1),Projects!$B$34/Projects!$D$34,"")</f>
        <v/>
      </c>
      <c r="L40" s="567">
        <f>IF(AND(Projects!$C$34&lt;=L$4,L$4&lt;=Projects!$C$34+Projects!$D$34-1),Projects!$B$34/Projects!$D$34,"")</f>
        <v/>
      </c>
      <c r="M40" s="567">
        <f>IF(AND(Projects!$C$34&lt;=M$4,M$4&lt;=Projects!$C$34+Projects!$D$34-1),Projects!$B$34/Projects!$D$34,"")</f>
        <v/>
      </c>
      <c r="N40" s="567">
        <f>IF(AND(Projects!$C$34&lt;=N$4,N$4&lt;=Projects!$C$34+Projects!$D$34-1),Projects!$B$34/Projects!$D$34,"")</f>
        <v/>
      </c>
      <c r="O40" s="567">
        <f>IF(AND(Projects!$C$34&lt;=O$4,O$4&lt;=Projects!$C$34+Projects!$D$34-1),Projects!$B$34/Projects!$D$34,"")</f>
        <v/>
      </c>
      <c r="P40" s="567">
        <f>IF(AND(Projects!$C$34&lt;=P$4,P$4&lt;=Projects!$C$34+Projects!$D$34-1),Projects!$B$34/Projects!$D$34,"")</f>
        <v/>
      </c>
      <c r="Q40" s="567">
        <f>IF(AND(Projects!$C$34&lt;=Q$4,Q$4&lt;=Projects!$C$34+Projects!$D$34-1),Projects!$B$34/Projects!$D$34,"")</f>
        <v/>
      </c>
      <c r="R40" s="567">
        <f>IF(AND(Projects!$C$34&lt;=R$4,R$4&lt;=Projects!$C$34+Projects!$D$34-1),Projects!$B$34/Projects!$D$34,"")</f>
        <v/>
      </c>
      <c r="S40" s="567">
        <f>IF(AND(Projects!$C$34&lt;=S$4,S$4&lt;=Projects!$C$34+Projects!$D$34-1),Projects!$B$34/Projects!$D$34,"")</f>
        <v/>
      </c>
      <c r="T40" s="567">
        <f>IF(AND(Projects!$C$34&lt;=T$4,T$4&lt;=Projects!$C$34+Projects!$D$34-1),Projects!$B$34/Projects!$D$34,"")</f>
        <v/>
      </c>
      <c r="U40" s="567">
        <f>IF(AND(Projects!$C$34&lt;=U$4,U$4&lt;=Projects!$C$34+Projects!$D$34-1),Projects!$B$34/Projects!$D$34,"")</f>
        <v/>
      </c>
      <c r="V40" s="567">
        <f>IF(AND(Projects!$C$34&lt;=V$4,V$4&lt;=Projects!$C$34+Projects!$D$34-1),Projects!$B$34/Projects!$D$34,"")</f>
        <v/>
      </c>
      <c r="W40" s="567">
        <f>IF(AND(Projects!$C$34&lt;=W$4,W$4&lt;=Projects!$C$34+Projects!$D$34-1),Projects!$B$34/Projects!$D$34,"")</f>
        <v/>
      </c>
      <c r="X40" s="567">
        <f>IF(AND(Projects!$C$34&lt;=X$4,X$4&lt;=Projects!$C$34+Projects!$D$34-1),Projects!$B$34/Projects!$D$34,"")</f>
        <v/>
      </c>
      <c r="Y40" s="567">
        <f>IF(AND(Projects!$C$34&lt;=Y$4,Y$4&lt;=Projects!$C$34+Projects!$D$34-1),Projects!$B$34/Projects!$D$34,"")</f>
        <v/>
      </c>
      <c r="Z40" s="567">
        <f>IF(AND(Projects!$C$34&lt;=Z$4,Z$4&lt;=Projects!$C$34+Projects!$D$34-1),Projects!$B$34/Projects!$D$34,"")</f>
        <v/>
      </c>
      <c r="AA40" s="567">
        <f>IF(AND(Projects!$C$34&lt;=AA$4,AA$4&lt;=Projects!$C$34+Projects!$D$34-1),Projects!$B$34/Projects!$D$34,"")</f>
        <v/>
      </c>
      <c r="AB40" s="567">
        <f>IF(AND(Projects!$C$34&lt;=AB$4,AB$4&lt;=Projects!$C$34+Projects!$D$34-1),Projects!$B$34/Projects!$D$34,"")</f>
        <v/>
      </c>
      <c r="AC40" s="567">
        <f>IF(AND(Projects!$C$34&lt;=AC$4,AC$4&lt;=Projects!$C$34+Projects!$D$34-1),Projects!$B$34/Projects!$D$34,"")</f>
        <v/>
      </c>
      <c r="AD40" s="567">
        <f>IF(AND(Projects!$C$34&lt;=AD$4,AD$4&lt;=Projects!$C$34+Projects!$D$34-1),Projects!$B$34/Projects!$D$34,"")</f>
        <v/>
      </c>
      <c r="AE40" s="567">
        <f>IF(AND(Projects!$C$34&lt;=AE$4,AE$4&lt;=Projects!$C$34+Projects!$D$34-1),Projects!$B$34/Projects!$D$34,"")</f>
        <v/>
      </c>
      <c r="AF40" s="567">
        <f>IF(AND(Projects!$C$34&lt;=AF$4,AF$4&lt;=Projects!$C$34+Projects!$D$34-1),Projects!$B$34/Projects!$D$34,"")</f>
        <v/>
      </c>
      <c r="AG40" s="567">
        <f>IF(AND(Projects!$C$34&lt;=AG$4,AG$4&lt;=Projects!$C$34+Projects!$D$34-1),Projects!$B$34/Projects!$D$34,"")</f>
        <v/>
      </c>
      <c r="AH40" s="567">
        <f>IF(AND(Projects!$C$34&lt;=AH$4,AH$4&lt;=Projects!$C$34+Projects!$D$34-1),Projects!$B$34/Projects!$D$34,"")</f>
        <v/>
      </c>
      <c r="AI40" s="567">
        <f>IF(AND(Projects!$C$34&lt;=AI$4,AI$4&lt;=Projects!$C$34+Projects!$D$34-1),Projects!$B$34/Projects!$D$34,"")</f>
        <v/>
      </c>
      <c r="AJ40" s="567">
        <f>IF(AND(Projects!$C$34&lt;=AJ$4,AJ$4&lt;=Projects!$C$34+Projects!$D$34-1),Projects!$B$34/Projects!$D$34,"")</f>
        <v/>
      </c>
      <c r="AK40" s="567">
        <f>IF(AND(Projects!$C$34&lt;=AK$4,AK$4&lt;=Projects!$C$34+Projects!$D$34-1),Projects!$B$34/Projects!$D$34,"")</f>
        <v/>
      </c>
      <c r="AL40" s="567">
        <f>IF(AND(Projects!$C$34&lt;=AL$4,AL$4&lt;=Projects!$C$34+Projects!$D$34-1),Projects!$B$34/Projects!$D$34,"")</f>
        <v/>
      </c>
      <c r="AM40" s="567">
        <f>IF(AND(Projects!$C$34&lt;=AM$4,AM$4&lt;=Projects!$C$34+Projects!$D$34-1),Projects!$B$34/Projects!$D$34,"")</f>
        <v/>
      </c>
      <c r="AN40" s="567">
        <f>IF(AND(Projects!$C$34&lt;=AN$4,AN$4&lt;=Projects!$C$34+Projects!$D$34-1),Projects!$B$34/Projects!$D$34,"")</f>
        <v/>
      </c>
      <c r="AO40" s="567">
        <f>IF(AND(Projects!$C$34&lt;=AO$4,AO$4&lt;=Projects!$C$34+Projects!$D$34-1),Projects!$B$34/Projects!$D$34,"")</f>
        <v/>
      </c>
      <c r="AP40" s="567">
        <f>IF(AND(Projects!$C$34&lt;=AP$4,AP$4&lt;=Projects!$C$34+Projects!$D$34-1),Projects!$B$34/Projects!$D$34,"")</f>
        <v/>
      </c>
      <c r="AQ40" s="567">
        <f>IF(AND(Projects!$C$34&lt;=AQ$4,AQ$4&lt;=Projects!$C$34+Projects!$D$34-1),Projects!$B$34/Projects!$D$34,"")</f>
        <v/>
      </c>
      <c r="AR40" s="567">
        <f>IF(AND(Projects!$C$34&lt;=AR$4,AR$4&lt;=Projects!$C$34+Projects!$D$34-1),Projects!$B$34/Projects!$D$34,"")</f>
        <v/>
      </c>
      <c r="AS40" s="567">
        <f>IF(AND(Projects!$C$34&lt;=AS$4,AS$4&lt;=Projects!$C$34+Projects!$D$34-1),Projects!$B$34/Projects!$D$34,"")</f>
        <v/>
      </c>
      <c r="AT40" s="567">
        <f>IF(AND(Projects!$C$34&lt;=AT$4,AT$4&lt;=Projects!$C$34+Projects!$D$34-1),Projects!$B$34/Projects!$D$34,"")</f>
        <v/>
      </c>
      <c r="AU40" s="567">
        <f>IF(AND(Projects!$C$34&lt;=AU$4,AU$4&lt;=Projects!$C$34+Projects!$D$34-1),Projects!$B$34/Projects!$D$34,"")</f>
        <v/>
      </c>
      <c r="AV40" s="567">
        <f>IF(AND(Projects!$C$34&lt;=AV$4,AV$4&lt;=Projects!$C$34+Projects!$D$34-1),Projects!$B$34/Projects!$D$34,"")</f>
        <v/>
      </c>
      <c r="AW40" s="567">
        <f>IF(AND(Projects!$C$34&lt;=AW$4,AW$4&lt;=Projects!$C$34+Projects!$D$34-1),Projects!$B$34/Projects!$D$34,"")</f>
        <v/>
      </c>
      <c r="AX40" s="567">
        <f>IF(AND(Projects!$C$34&lt;=AX$4,AX$4&lt;=Projects!$C$34+Projects!$D$34-1),Projects!$B$34/Projects!$D$34,"")</f>
        <v/>
      </c>
      <c r="AY40" s="567">
        <f>IF(AND(Projects!$C$34&lt;=AY$4,AY$4&lt;=Projects!$C$34+Projects!$D$34-1),Projects!$B$34/Projects!$D$34,"")</f>
        <v/>
      </c>
      <c r="AZ40" s="567">
        <f>IF(AND(Projects!$C$34&lt;=AZ$4,AZ$4&lt;=Projects!$C$34+Projects!$D$34-1),Projects!$B$34/Projects!$D$34,"")</f>
        <v/>
      </c>
      <c r="BA40" s="567">
        <f>IF(AND(Projects!$C$34&lt;=BA$4,BA$4&lt;=Projects!$C$34+Projects!$D$34-1),Projects!$B$34/Projects!$D$34,"")</f>
        <v/>
      </c>
      <c r="BB40" s="567">
        <f>IF(AND(Projects!$C$34&lt;=BB$4,BB$4&lt;=Projects!$C$34+Projects!$D$34-1),Projects!$B$34/Projects!$D$34,"")</f>
        <v/>
      </c>
      <c r="BC40" s="567">
        <f>IF(AND(Projects!$C$34&lt;=BC$4,BC$4&lt;=Projects!$C$34+Projects!$D$34-1),Projects!$B$34/Projects!$D$34,"")</f>
        <v/>
      </c>
      <c r="BD40" s="567">
        <f>IF(AND(Projects!$C$34&lt;=BD$4,BD$4&lt;=Projects!$C$34+Projects!$D$34-1),Projects!$B$34/Projects!$D$34,"")</f>
        <v/>
      </c>
      <c r="BE40" s="567">
        <f>IF(AND(Projects!$C$34&lt;=BE$4,BE$4&lt;=Projects!$C$34+Projects!$D$34-1),Projects!$B$34/Projects!$D$34,"")</f>
        <v/>
      </c>
      <c r="BF40" s="567">
        <f>IF(AND(Projects!$C$34&lt;=BF$4,BF$4&lt;=Projects!$C$34+Projects!$D$34-1),Projects!$B$34/Projects!$D$34,"")</f>
        <v/>
      </c>
      <c r="BG40" s="567">
        <f>IF(AND(Projects!$C$34&lt;=BG$4,BG$4&lt;=Projects!$C$34+Projects!$D$34-1),Projects!$B$34/Projects!$D$34,"")</f>
        <v/>
      </c>
      <c r="BH40" s="567">
        <f>IF(AND(Projects!$C$34&lt;=BH$4,BH$4&lt;=Projects!$C$34+Projects!$D$34-1),Projects!$B$34/Projects!$D$34,"")</f>
        <v/>
      </c>
      <c r="BI40" s="567">
        <f>IF(AND(Projects!$C$34&lt;=BI$4,BI$4&lt;=Projects!$C$34+Projects!$D$34-1),Projects!$B$34/Projects!$D$34,"")</f>
        <v/>
      </c>
      <c r="BJ40" s="567">
        <f>IF(AND(Projects!$C$34&lt;=BJ$4,BJ$4&lt;=Projects!$C$34+Projects!$D$34-1),Projects!$B$34/Projects!$D$34,"")</f>
        <v/>
      </c>
      <c r="BK40" s="567">
        <f>IF(AND(Projects!$C$34&lt;=BK$4,BK$4&lt;=Projects!$C$34+Projects!$D$34-1),Projects!$B$34/Projects!$D$34,"")</f>
        <v/>
      </c>
      <c r="BL40" s="567">
        <f>IF(AND(Projects!$C$34&lt;=BL$4,BL$4&lt;=Projects!$C$34+Projects!$D$34-1),Projects!$B$34/Projects!$D$34,"")</f>
        <v/>
      </c>
      <c r="BM40" s="567">
        <f>IF(AND(Projects!$C$34&lt;=BM$4,BM$4&lt;=Projects!$C$34+Projects!$D$34-1),Projects!$B$34/Projects!$D$34,"")</f>
        <v/>
      </c>
      <c r="BN40" s="567">
        <f>IF(AND(Projects!$C$34&lt;=BN$4,BN$4&lt;=Projects!$C$34+Projects!$D$34-1),Projects!$B$34/Projects!$D$34,"")</f>
        <v/>
      </c>
      <c r="BO40" s="567">
        <f>IF(AND(Projects!$C$34&lt;=BO$4,BO$4&lt;=Projects!$C$34+Projects!$D$34-1),Projects!$B$34/Projects!$D$34,"")</f>
        <v/>
      </c>
      <c r="BP40" s="567">
        <f>IF(AND(Projects!$C$34&lt;=BP$4,BP$4&lt;=Projects!$C$34+Projects!$D$34-1),Projects!$B$34/Projects!$D$34,"")</f>
        <v/>
      </c>
      <c r="BQ40" s="567">
        <f>IF(AND(Projects!$C$34&lt;=BQ$4,BQ$4&lt;=Projects!$C$34+Projects!$D$34-1),Projects!$B$34/Projects!$D$34,"")</f>
        <v/>
      </c>
      <c r="BR40" s="567">
        <f>IF(AND(Projects!$C$34&lt;=BR$4,BR$4&lt;=Projects!$C$34+Projects!$D$34-1),Projects!$B$34/Projects!$D$34,"")</f>
        <v/>
      </c>
      <c r="BS40" s="567">
        <f>IF(AND(Projects!$C$34&lt;=BS$4,BS$4&lt;=Projects!$C$34+Projects!$D$34-1),Projects!$B$34/Projects!$D$34,"")</f>
        <v/>
      </c>
      <c r="BT40" s="567">
        <f>IF(AND(Projects!$C$34&lt;=BT$4,BT$4&lt;=Projects!$C$34+Projects!$D$34-1),Projects!$B$34/Projects!$D$34,"")</f>
        <v/>
      </c>
      <c r="BU40" s="567">
        <f>IF(AND(Projects!$C$34&lt;=BU$4,BU$4&lt;=Projects!$C$34+Projects!$D$34-1),Projects!$B$34/Projects!$D$34,"")</f>
        <v/>
      </c>
      <c r="BV40" s="567">
        <f>IF(AND(Projects!$C$34&lt;=BV$4,BV$4&lt;=Projects!$C$34+Projects!$D$34-1),Projects!$B$34/Projects!$D$34,"")</f>
        <v/>
      </c>
      <c r="BW40" s="567">
        <f>IF(AND(Projects!$C$34&lt;=BW$4,BW$4&lt;=Projects!$C$34+Projects!$D$34-1),Projects!$B$34/Projects!$D$34,"")</f>
        <v/>
      </c>
      <c r="BX40" s="567">
        <f>IF(AND(Projects!$C$34&lt;=BX$4,BX$4&lt;=Projects!$C$34+Projects!$D$34-1),Projects!$B$34/Projects!$D$34,"")</f>
        <v/>
      </c>
      <c r="BY40" s="567">
        <f>IF(AND(Projects!$C$34&lt;=BY$4,BY$4&lt;=Projects!$C$34+Projects!$D$34-1),Projects!$B$34/Projects!$D$34,"")</f>
        <v/>
      </c>
      <c r="BZ40" s="567">
        <f>IF(AND(Projects!$C$34&lt;=BZ$4,BZ$4&lt;=Projects!$C$34+Projects!$D$34-1),Projects!$B$34/Projects!$D$34,"")</f>
        <v/>
      </c>
      <c r="CA40" s="567">
        <f>IF(AND(Projects!$C$34&lt;=CA$4,CA$4&lt;=Projects!$C$34+Projects!$D$34-1),Projects!$B$34/Projects!$D$34,"")</f>
        <v/>
      </c>
      <c r="CB40" s="567">
        <f>IF(AND(Projects!$C$34&lt;=CB$4,CB$4&lt;=Projects!$C$34+Projects!$D$34-1),Projects!$B$34/Projects!$D$34,"")</f>
        <v/>
      </c>
      <c r="CC40" s="567">
        <f>IF(AND(Projects!$C$34&lt;=CC$4,CC$4&lt;=Projects!$C$34+Projects!$D$34-1),Projects!$B$34/Projects!$D$34,"")</f>
        <v/>
      </c>
      <c r="CD40" s="567">
        <f>IF(AND(Projects!$C$34&lt;=CD$4,CD$4&lt;=Projects!$C$34+Projects!$D$34-1),Projects!$B$34/Projects!$D$34,"")</f>
        <v/>
      </c>
      <c r="CE40" s="567">
        <f>IF(AND(Projects!$C$34&lt;=CE$4,CE$4&lt;=Projects!$C$34+Projects!$D$34-1),Projects!$B$34/Projects!$D$34,"")</f>
        <v/>
      </c>
      <c r="CF40" s="567">
        <f>IF(AND(Projects!$C$34&lt;=CF$4,CF$4&lt;=Projects!$C$34+Projects!$D$34-1),Projects!$B$34/Projects!$D$34,"")</f>
        <v/>
      </c>
      <c r="CG40" s="567">
        <f>IF(AND(Projects!$C$34&lt;=CG$4,CG$4&lt;=Projects!$C$34+Projects!$D$34-1),Projects!$B$34/Projects!$D$34,"")</f>
        <v/>
      </c>
      <c r="CH40" s="567">
        <f>IF(AND(Projects!$C$34&lt;=CH$4,CH$4&lt;=Projects!$C$34+Projects!$D$34-1),Projects!$B$34/Projects!$D$34,"")</f>
        <v/>
      </c>
      <c r="CI40" s="567">
        <f>IF(AND(Projects!$C$34&lt;=CI$4,CI$4&lt;=Projects!$C$34+Projects!$D$34-1),Projects!$B$34/Projects!$D$34,"")</f>
        <v/>
      </c>
      <c r="CJ40" s="567">
        <f>IF(AND(Projects!$C$34&lt;=CJ$4,CJ$4&lt;=Projects!$C$34+Projects!$D$34-1),Projects!$B$34/Projects!$D$34,"")</f>
        <v/>
      </c>
      <c r="CK40" s="567">
        <f>IF(AND(Projects!$C$34&lt;=CK$4,CK$4&lt;=Projects!$C$34+Projects!$D$34-1),Projects!$B$34/Projects!$D$34,"")</f>
        <v/>
      </c>
      <c r="CL40" s="567">
        <f>IF(AND(Projects!$C$34&lt;=CL$4,CL$4&lt;=Projects!$C$34+Projects!$D$34-1),Projects!$B$34/Projects!$D$34,"")</f>
        <v/>
      </c>
      <c r="CM40" s="567">
        <f>IF(AND(Projects!$C$34&lt;=CM$4,CM$4&lt;=Projects!$C$34+Projects!$D$34-1),Projects!$B$34/Projects!$D$34,"")</f>
        <v/>
      </c>
      <c r="CN40" s="567">
        <f>IF(AND(Projects!$C$34&lt;=CN$4,CN$4&lt;=Projects!$C$34+Projects!$D$34-1),Projects!$B$34/Projects!$D$34,"")</f>
        <v/>
      </c>
      <c r="CO40" s="567">
        <f>IF(AND(Projects!$C$34&lt;=CO$4,CO$4&lt;=Projects!$C$34+Projects!$D$34-1),Projects!$B$34/Projects!$D$34,"")</f>
        <v/>
      </c>
      <c r="CP40" s="567">
        <f>IF(AND(Projects!$C$34&lt;=CP$4,CP$4&lt;=Projects!$C$34+Projects!$D$34-1),Projects!$B$34/Projects!$D$34,"")</f>
        <v/>
      </c>
      <c r="CQ40" s="567">
        <f>IF(AND(Projects!$C$34&lt;=CQ$4,CQ$4&lt;=Projects!$C$34+Projects!$D$34-1),Projects!$B$34/Projects!$D$34,"")</f>
        <v/>
      </c>
      <c r="CR40" s="567">
        <f>IF(AND(Projects!$C$34&lt;=CR$4,CR$4&lt;=Projects!$C$34+Projects!$D$34-1),Projects!$B$34/Projects!$D$34,"")</f>
        <v/>
      </c>
      <c r="CS40" s="567">
        <f>IF(AND(Projects!$C$34&lt;=CS$4,CS$4&lt;=Projects!$C$34+Projects!$D$34-1),Projects!$B$34/Projects!$D$34,"")</f>
        <v/>
      </c>
      <c r="CT40" s="567">
        <f>IF(AND(Projects!$C$34&lt;=CT$4,CT$4&lt;=Projects!$C$34+Projects!$D$34-1),Projects!$B$34/Projects!$D$34,"")</f>
        <v/>
      </c>
      <c r="CU40" s="567">
        <f>IF(AND(Projects!$C$34&lt;=CU$4,CU$4&lt;=Projects!$C$34+Projects!$D$34-1),Projects!$B$34/Projects!$D$34,"")</f>
        <v/>
      </c>
      <c r="CV40" s="567">
        <f>IF(AND(Projects!$C$34&lt;=CV$4,CV$4&lt;=Projects!$C$34+Projects!$D$34-1),Projects!$B$34/Projects!$D$34,"")</f>
        <v/>
      </c>
      <c r="CW40" s="567">
        <f>IF(AND(Projects!$C$34&lt;=CW$4,CW$4&lt;=Projects!$C$34+Projects!$D$34-1),Projects!$B$34/Projects!$D$34,"")</f>
        <v/>
      </c>
      <c r="CX40" s="567">
        <f>IF(AND(Projects!$C$34&lt;=CX$4,CX$4&lt;=Projects!$C$34+Projects!$D$34-1),Projects!$B$34/Projects!$D$34,"")</f>
        <v/>
      </c>
      <c r="CY40" s="567">
        <f>IF(AND(Projects!$C$34&lt;=CY$4,CY$4&lt;=Projects!$C$34+Projects!$D$34-1),Projects!$B$34/Projects!$D$34,"")</f>
        <v/>
      </c>
      <c r="CZ40" s="567">
        <f>IF(AND(Projects!$C$34&lt;=CZ$4,CZ$4&lt;=Projects!$C$34+Projects!$D$34-1),Projects!$B$34/Projects!$D$34,"")</f>
        <v/>
      </c>
      <c r="DA40" s="567">
        <f>IF(AND(Projects!$C$34&lt;=DA$4,DA$4&lt;=Projects!$C$34+Projects!$D$34-1),Projects!$B$34/Projects!$D$34,"")</f>
        <v/>
      </c>
      <c r="DB40" s="567">
        <f>IF(AND(Projects!$C$34&lt;=DB$4,DB$4&lt;=Projects!$C$34+Projects!$D$34-1),Projects!$B$34/Projects!$D$34,"")</f>
        <v/>
      </c>
    </row>
    <row r="41" ht="15" customFormat="1" customHeight="1" s="380">
      <c r="A41" s="563" t="inlineStr">
        <is>
          <t>BD-19</t>
        </is>
      </c>
      <c r="B41" s="564">
        <f>Projects!$B$35</f>
        <v/>
      </c>
      <c r="C41" s="565">
        <f>EDATE(Model!$E$2,Projects!$C$35-1)</f>
        <v/>
      </c>
      <c r="D41" s="565">
        <f>EDATE(Model!$E$2,Projects!$C$35+Projects!$D$35-2)</f>
        <v/>
      </c>
      <c r="E41" s="566">
        <f>Projects!$D$35</f>
        <v/>
      </c>
      <c r="F41" s="564">
        <f>Projects!$B$35/Projects!$D$35</f>
        <v/>
      </c>
      <c r="G41" s="567">
        <f>IF(AND(Projects!$C$35&lt;=G$4,G$4&lt;=Projects!$C$35+Projects!$D$35-1),Projects!$B$35/Projects!$D$35,"")</f>
        <v/>
      </c>
      <c r="H41" s="567">
        <f>IF(AND(Projects!$C$35&lt;=H$4,H$4&lt;=Projects!$C$35+Projects!$D$35-1),Projects!$B$35/Projects!$D$35,"")</f>
        <v/>
      </c>
      <c r="I41" s="567">
        <f>IF(AND(Projects!$C$35&lt;=I$4,I$4&lt;=Projects!$C$35+Projects!$D$35-1),Projects!$B$35/Projects!$D$35,"")</f>
        <v/>
      </c>
      <c r="J41" s="567">
        <f>IF(AND(Projects!$C$35&lt;=J$4,J$4&lt;=Projects!$C$35+Projects!$D$35-1),Projects!$B$35/Projects!$D$35,"")</f>
        <v/>
      </c>
      <c r="K41" s="567">
        <f>IF(AND(Projects!$C$35&lt;=K$4,K$4&lt;=Projects!$C$35+Projects!$D$35-1),Projects!$B$35/Projects!$D$35,"")</f>
        <v/>
      </c>
      <c r="L41" s="567">
        <f>IF(AND(Projects!$C$35&lt;=L$4,L$4&lt;=Projects!$C$35+Projects!$D$35-1),Projects!$B$35/Projects!$D$35,"")</f>
        <v/>
      </c>
      <c r="M41" s="567">
        <f>IF(AND(Projects!$C$35&lt;=M$4,M$4&lt;=Projects!$C$35+Projects!$D$35-1),Projects!$B$35/Projects!$D$35,"")</f>
        <v/>
      </c>
      <c r="N41" s="567">
        <f>IF(AND(Projects!$C$35&lt;=N$4,N$4&lt;=Projects!$C$35+Projects!$D$35-1),Projects!$B$35/Projects!$D$35,"")</f>
        <v/>
      </c>
      <c r="O41" s="567">
        <f>IF(AND(Projects!$C$35&lt;=O$4,O$4&lt;=Projects!$C$35+Projects!$D$35-1),Projects!$B$35/Projects!$D$35,"")</f>
        <v/>
      </c>
      <c r="P41" s="567">
        <f>IF(AND(Projects!$C$35&lt;=P$4,P$4&lt;=Projects!$C$35+Projects!$D$35-1),Projects!$B$35/Projects!$D$35,"")</f>
        <v/>
      </c>
      <c r="Q41" s="567">
        <f>IF(AND(Projects!$C$35&lt;=Q$4,Q$4&lt;=Projects!$C$35+Projects!$D$35-1),Projects!$B$35/Projects!$D$35,"")</f>
        <v/>
      </c>
      <c r="R41" s="567">
        <f>IF(AND(Projects!$C$35&lt;=R$4,R$4&lt;=Projects!$C$35+Projects!$D$35-1),Projects!$B$35/Projects!$D$35,"")</f>
        <v/>
      </c>
      <c r="S41" s="567">
        <f>IF(AND(Projects!$C$35&lt;=S$4,S$4&lt;=Projects!$C$35+Projects!$D$35-1),Projects!$B$35/Projects!$D$35,"")</f>
        <v/>
      </c>
      <c r="T41" s="567">
        <f>IF(AND(Projects!$C$35&lt;=T$4,T$4&lt;=Projects!$C$35+Projects!$D$35-1),Projects!$B$35/Projects!$D$35,"")</f>
        <v/>
      </c>
      <c r="U41" s="567">
        <f>IF(AND(Projects!$C$35&lt;=U$4,U$4&lt;=Projects!$C$35+Projects!$D$35-1),Projects!$B$35/Projects!$D$35,"")</f>
        <v/>
      </c>
      <c r="V41" s="567">
        <f>IF(AND(Projects!$C$35&lt;=V$4,V$4&lt;=Projects!$C$35+Projects!$D$35-1),Projects!$B$35/Projects!$D$35,"")</f>
        <v/>
      </c>
      <c r="W41" s="567">
        <f>IF(AND(Projects!$C$35&lt;=W$4,W$4&lt;=Projects!$C$35+Projects!$D$35-1),Projects!$B$35/Projects!$D$35,"")</f>
        <v/>
      </c>
      <c r="X41" s="567">
        <f>IF(AND(Projects!$C$35&lt;=X$4,X$4&lt;=Projects!$C$35+Projects!$D$35-1),Projects!$B$35/Projects!$D$35,"")</f>
        <v/>
      </c>
      <c r="Y41" s="567">
        <f>IF(AND(Projects!$C$35&lt;=Y$4,Y$4&lt;=Projects!$C$35+Projects!$D$35-1),Projects!$B$35/Projects!$D$35,"")</f>
        <v/>
      </c>
      <c r="Z41" s="567">
        <f>IF(AND(Projects!$C$35&lt;=Z$4,Z$4&lt;=Projects!$C$35+Projects!$D$35-1),Projects!$B$35/Projects!$D$35,"")</f>
        <v/>
      </c>
      <c r="AA41" s="567">
        <f>IF(AND(Projects!$C$35&lt;=AA$4,AA$4&lt;=Projects!$C$35+Projects!$D$35-1),Projects!$B$35/Projects!$D$35,"")</f>
        <v/>
      </c>
      <c r="AB41" s="567">
        <f>IF(AND(Projects!$C$35&lt;=AB$4,AB$4&lt;=Projects!$C$35+Projects!$D$35-1),Projects!$B$35/Projects!$D$35,"")</f>
        <v/>
      </c>
      <c r="AC41" s="567">
        <f>IF(AND(Projects!$C$35&lt;=AC$4,AC$4&lt;=Projects!$C$35+Projects!$D$35-1),Projects!$B$35/Projects!$D$35,"")</f>
        <v/>
      </c>
      <c r="AD41" s="567">
        <f>IF(AND(Projects!$C$35&lt;=AD$4,AD$4&lt;=Projects!$C$35+Projects!$D$35-1),Projects!$B$35/Projects!$D$35,"")</f>
        <v/>
      </c>
      <c r="AE41" s="567">
        <f>IF(AND(Projects!$C$35&lt;=AE$4,AE$4&lt;=Projects!$C$35+Projects!$D$35-1),Projects!$B$35/Projects!$D$35,"")</f>
        <v/>
      </c>
      <c r="AF41" s="567">
        <f>IF(AND(Projects!$C$35&lt;=AF$4,AF$4&lt;=Projects!$C$35+Projects!$D$35-1),Projects!$B$35/Projects!$D$35,"")</f>
        <v/>
      </c>
      <c r="AG41" s="567">
        <f>IF(AND(Projects!$C$35&lt;=AG$4,AG$4&lt;=Projects!$C$35+Projects!$D$35-1),Projects!$B$35/Projects!$D$35,"")</f>
        <v/>
      </c>
      <c r="AH41" s="567">
        <f>IF(AND(Projects!$C$35&lt;=AH$4,AH$4&lt;=Projects!$C$35+Projects!$D$35-1),Projects!$B$35/Projects!$D$35,"")</f>
        <v/>
      </c>
      <c r="AI41" s="567">
        <f>IF(AND(Projects!$C$35&lt;=AI$4,AI$4&lt;=Projects!$C$35+Projects!$D$35-1),Projects!$B$35/Projects!$D$35,"")</f>
        <v/>
      </c>
      <c r="AJ41" s="567">
        <f>IF(AND(Projects!$C$35&lt;=AJ$4,AJ$4&lt;=Projects!$C$35+Projects!$D$35-1),Projects!$B$35/Projects!$D$35,"")</f>
        <v/>
      </c>
      <c r="AK41" s="567">
        <f>IF(AND(Projects!$C$35&lt;=AK$4,AK$4&lt;=Projects!$C$35+Projects!$D$35-1),Projects!$B$35/Projects!$D$35,"")</f>
        <v/>
      </c>
      <c r="AL41" s="567">
        <f>IF(AND(Projects!$C$35&lt;=AL$4,AL$4&lt;=Projects!$C$35+Projects!$D$35-1),Projects!$B$35/Projects!$D$35,"")</f>
        <v/>
      </c>
      <c r="AM41" s="567">
        <f>IF(AND(Projects!$C$35&lt;=AM$4,AM$4&lt;=Projects!$C$35+Projects!$D$35-1),Projects!$B$35/Projects!$D$35,"")</f>
        <v/>
      </c>
      <c r="AN41" s="567">
        <f>IF(AND(Projects!$C$35&lt;=AN$4,AN$4&lt;=Projects!$C$35+Projects!$D$35-1),Projects!$B$35/Projects!$D$35,"")</f>
        <v/>
      </c>
      <c r="AO41" s="567">
        <f>IF(AND(Projects!$C$35&lt;=AO$4,AO$4&lt;=Projects!$C$35+Projects!$D$35-1),Projects!$B$35/Projects!$D$35,"")</f>
        <v/>
      </c>
      <c r="AP41" s="567">
        <f>IF(AND(Projects!$C$35&lt;=AP$4,AP$4&lt;=Projects!$C$35+Projects!$D$35-1),Projects!$B$35/Projects!$D$35,"")</f>
        <v/>
      </c>
      <c r="AQ41" s="567">
        <f>IF(AND(Projects!$C$35&lt;=AQ$4,AQ$4&lt;=Projects!$C$35+Projects!$D$35-1),Projects!$B$35/Projects!$D$35,"")</f>
        <v/>
      </c>
      <c r="AR41" s="567">
        <f>IF(AND(Projects!$C$35&lt;=AR$4,AR$4&lt;=Projects!$C$35+Projects!$D$35-1),Projects!$B$35/Projects!$D$35,"")</f>
        <v/>
      </c>
      <c r="AS41" s="567">
        <f>IF(AND(Projects!$C$35&lt;=AS$4,AS$4&lt;=Projects!$C$35+Projects!$D$35-1),Projects!$B$35/Projects!$D$35,"")</f>
        <v/>
      </c>
      <c r="AT41" s="567">
        <f>IF(AND(Projects!$C$35&lt;=AT$4,AT$4&lt;=Projects!$C$35+Projects!$D$35-1),Projects!$B$35/Projects!$D$35,"")</f>
        <v/>
      </c>
      <c r="AU41" s="567">
        <f>IF(AND(Projects!$C$35&lt;=AU$4,AU$4&lt;=Projects!$C$35+Projects!$D$35-1),Projects!$B$35/Projects!$D$35,"")</f>
        <v/>
      </c>
      <c r="AV41" s="567">
        <f>IF(AND(Projects!$C$35&lt;=AV$4,AV$4&lt;=Projects!$C$35+Projects!$D$35-1),Projects!$B$35/Projects!$D$35,"")</f>
        <v/>
      </c>
      <c r="AW41" s="567">
        <f>IF(AND(Projects!$C$35&lt;=AW$4,AW$4&lt;=Projects!$C$35+Projects!$D$35-1),Projects!$B$35/Projects!$D$35,"")</f>
        <v/>
      </c>
      <c r="AX41" s="567">
        <f>IF(AND(Projects!$C$35&lt;=AX$4,AX$4&lt;=Projects!$C$35+Projects!$D$35-1),Projects!$B$35/Projects!$D$35,"")</f>
        <v/>
      </c>
      <c r="AY41" s="567">
        <f>IF(AND(Projects!$C$35&lt;=AY$4,AY$4&lt;=Projects!$C$35+Projects!$D$35-1),Projects!$B$35/Projects!$D$35,"")</f>
        <v/>
      </c>
      <c r="AZ41" s="567">
        <f>IF(AND(Projects!$C$35&lt;=AZ$4,AZ$4&lt;=Projects!$C$35+Projects!$D$35-1),Projects!$B$35/Projects!$D$35,"")</f>
        <v/>
      </c>
      <c r="BA41" s="567">
        <f>IF(AND(Projects!$C$35&lt;=BA$4,BA$4&lt;=Projects!$C$35+Projects!$D$35-1),Projects!$B$35/Projects!$D$35,"")</f>
        <v/>
      </c>
      <c r="BB41" s="567">
        <f>IF(AND(Projects!$C$35&lt;=BB$4,BB$4&lt;=Projects!$C$35+Projects!$D$35-1),Projects!$B$35/Projects!$D$35,"")</f>
        <v/>
      </c>
      <c r="BC41" s="567">
        <f>IF(AND(Projects!$C$35&lt;=BC$4,BC$4&lt;=Projects!$C$35+Projects!$D$35-1),Projects!$B$35/Projects!$D$35,"")</f>
        <v/>
      </c>
      <c r="BD41" s="567">
        <f>IF(AND(Projects!$C$35&lt;=BD$4,BD$4&lt;=Projects!$C$35+Projects!$D$35-1),Projects!$B$35/Projects!$D$35,"")</f>
        <v/>
      </c>
      <c r="BE41" s="567">
        <f>IF(AND(Projects!$C$35&lt;=BE$4,BE$4&lt;=Projects!$C$35+Projects!$D$35-1),Projects!$B$35/Projects!$D$35,"")</f>
        <v/>
      </c>
      <c r="BF41" s="567">
        <f>IF(AND(Projects!$C$35&lt;=BF$4,BF$4&lt;=Projects!$C$35+Projects!$D$35-1),Projects!$B$35/Projects!$D$35,"")</f>
        <v/>
      </c>
      <c r="BG41" s="567">
        <f>IF(AND(Projects!$C$35&lt;=BG$4,BG$4&lt;=Projects!$C$35+Projects!$D$35-1),Projects!$B$35/Projects!$D$35,"")</f>
        <v/>
      </c>
      <c r="BH41" s="567">
        <f>IF(AND(Projects!$C$35&lt;=BH$4,BH$4&lt;=Projects!$C$35+Projects!$D$35-1),Projects!$B$35/Projects!$D$35,"")</f>
        <v/>
      </c>
      <c r="BI41" s="567">
        <f>IF(AND(Projects!$C$35&lt;=BI$4,BI$4&lt;=Projects!$C$35+Projects!$D$35-1),Projects!$B$35/Projects!$D$35,"")</f>
        <v/>
      </c>
      <c r="BJ41" s="567">
        <f>IF(AND(Projects!$C$35&lt;=BJ$4,BJ$4&lt;=Projects!$C$35+Projects!$D$35-1),Projects!$B$35/Projects!$D$35,"")</f>
        <v/>
      </c>
      <c r="BK41" s="567">
        <f>IF(AND(Projects!$C$35&lt;=BK$4,BK$4&lt;=Projects!$C$35+Projects!$D$35-1),Projects!$B$35/Projects!$D$35,"")</f>
        <v/>
      </c>
      <c r="BL41" s="567">
        <f>IF(AND(Projects!$C$35&lt;=BL$4,BL$4&lt;=Projects!$C$35+Projects!$D$35-1),Projects!$B$35/Projects!$D$35,"")</f>
        <v/>
      </c>
      <c r="BM41" s="567">
        <f>IF(AND(Projects!$C$35&lt;=BM$4,BM$4&lt;=Projects!$C$35+Projects!$D$35-1),Projects!$B$35/Projects!$D$35,"")</f>
        <v/>
      </c>
      <c r="BN41" s="567">
        <f>IF(AND(Projects!$C$35&lt;=BN$4,BN$4&lt;=Projects!$C$35+Projects!$D$35-1),Projects!$B$35/Projects!$D$35,"")</f>
        <v/>
      </c>
      <c r="BO41" s="567">
        <f>IF(AND(Projects!$C$35&lt;=BO$4,BO$4&lt;=Projects!$C$35+Projects!$D$35-1),Projects!$B$35/Projects!$D$35,"")</f>
        <v/>
      </c>
      <c r="BP41" s="567">
        <f>IF(AND(Projects!$C$35&lt;=BP$4,BP$4&lt;=Projects!$C$35+Projects!$D$35-1),Projects!$B$35/Projects!$D$35,"")</f>
        <v/>
      </c>
      <c r="BQ41" s="567">
        <f>IF(AND(Projects!$C$35&lt;=BQ$4,BQ$4&lt;=Projects!$C$35+Projects!$D$35-1),Projects!$B$35/Projects!$D$35,"")</f>
        <v/>
      </c>
      <c r="BR41" s="567">
        <f>IF(AND(Projects!$C$35&lt;=BR$4,BR$4&lt;=Projects!$C$35+Projects!$D$35-1),Projects!$B$35/Projects!$D$35,"")</f>
        <v/>
      </c>
      <c r="BS41" s="567">
        <f>IF(AND(Projects!$C$35&lt;=BS$4,BS$4&lt;=Projects!$C$35+Projects!$D$35-1),Projects!$B$35/Projects!$D$35,"")</f>
        <v/>
      </c>
      <c r="BT41" s="567">
        <f>IF(AND(Projects!$C$35&lt;=BT$4,BT$4&lt;=Projects!$C$35+Projects!$D$35-1),Projects!$B$35/Projects!$D$35,"")</f>
        <v/>
      </c>
      <c r="BU41" s="567">
        <f>IF(AND(Projects!$C$35&lt;=BU$4,BU$4&lt;=Projects!$C$35+Projects!$D$35-1),Projects!$B$35/Projects!$D$35,"")</f>
        <v/>
      </c>
      <c r="BV41" s="567">
        <f>IF(AND(Projects!$C$35&lt;=BV$4,BV$4&lt;=Projects!$C$35+Projects!$D$35-1),Projects!$B$35/Projects!$D$35,"")</f>
        <v/>
      </c>
      <c r="BW41" s="567">
        <f>IF(AND(Projects!$C$35&lt;=BW$4,BW$4&lt;=Projects!$C$35+Projects!$D$35-1),Projects!$B$35/Projects!$D$35,"")</f>
        <v/>
      </c>
      <c r="BX41" s="567">
        <f>IF(AND(Projects!$C$35&lt;=BX$4,BX$4&lt;=Projects!$C$35+Projects!$D$35-1),Projects!$B$35/Projects!$D$35,"")</f>
        <v/>
      </c>
      <c r="BY41" s="567">
        <f>IF(AND(Projects!$C$35&lt;=BY$4,BY$4&lt;=Projects!$C$35+Projects!$D$35-1),Projects!$B$35/Projects!$D$35,"")</f>
        <v/>
      </c>
      <c r="BZ41" s="567">
        <f>IF(AND(Projects!$C$35&lt;=BZ$4,BZ$4&lt;=Projects!$C$35+Projects!$D$35-1),Projects!$B$35/Projects!$D$35,"")</f>
        <v/>
      </c>
      <c r="CA41" s="567">
        <f>IF(AND(Projects!$C$35&lt;=CA$4,CA$4&lt;=Projects!$C$35+Projects!$D$35-1),Projects!$B$35/Projects!$D$35,"")</f>
        <v/>
      </c>
      <c r="CB41" s="567">
        <f>IF(AND(Projects!$C$35&lt;=CB$4,CB$4&lt;=Projects!$C$35+Projects!$D$35-1),Projects!$B$35/Projects!$D$35,"")</f>
        <v/>
      </c>
      <c r="CC41" s="567">
        <f>IF(AND(Projects!$C$35&lt;=CC$4,CC$4&lt;=Projects!$C$35+Projects!$D$35-1),Projects!$B$35/Projects!$D$35,"")</f>
        <v/>
      </c>
      <c r="CD41" s="567">
        <f>IF(AND(Projects!$C$35&lt;=CD$4,CD$4&lt;=Projects!$C$35+Projects!$D$35-1),Projects!$B$35/Projects!$D$35,"")</f>
        <v/>
      </c>
      <c r="CE41" s="567">
        <f>IF(AND(Projects!$C$35&lt;=CE$4,CE$4&lt;=Projects!$C$35+Projects!$D$35-1),Projects!$B$35/Projects!$D$35,"")</f>
        <v/>
      </c>
      <c r="CF41" s="567">
        <f>IF(AND(Projects!$C$35&lt;=CF$4,CF$4&lt;=Projects!$C$35+Projects!$D$35-1),Projects!$B$35/Projects!$D$35,"")</f>
        <v/>
      </c>
      <c r="CG41" s="567">
        <f>IF(AND(Projects!$C$35&lt;=CG$4,CG$4&lt;=Projects!$C$35+Projects!$D$35-1),Projects!$B$35/Projects!$D$35,"")</f>
        <v/>
      </c>
      <c r="CH41" s="567">
        <f>IF(AND(Projects!$C$35&lt;=CH$4,CH$4&lt;=Projects!$C$35+Projects!$D$35-1),Projects!$B$35/Projects!$D$35,"")</f>
        <v/>
      </c>
      <c r="CI41" s="567">
        <f>IF(AND(Projects!$C$35&lt;=CI$4,CI$4&lt;=Projects!$C$35+Projects!$D$35-1),Projects!$B$35/Projects!$D$35,"")</f>
        <v/>
      </c>
      <c r="CJ41" s="567">
        <f>IF(AND(Projects!$C$35&lt;=CJ$4,CJ$4&lt;=Projects!$C$35+Projects!$D$35-1),Projects!$B$35/Projects!$D$35,"")</f>
        <v/>
      </c>
      <c r="CK41" s="567">
        <f>IF(AND(Projects!$C$35&lt;=CK$4,CK$4&lt;=Projects!$C$35+Projects!$D$35-1),Projects!$B$35/Projects!$D$35,"")</f>
        <v/>
      </c>
      <c r="CL41" s="567">
        <f>IF(AND(Projects!$C$35&lt;=CL$4,CL$4&lt;=Projects!$C$35+Projects!$D$35-1),Projects!$B$35/Projects!$D$35,"")</f>
        <v/>
      </c>
      <c r="CM41" s="567">
        <f>IF(AND(Projects!$C$35&lt;=CM$4,CM$4&lt;=Projects!$C$35+Projects!$D$35-1),Projects!$B$35/Projects!$D$35,"")</f>
        <v/>
      </c>
      <c r="CN41" s="567">
        <f>IF(AND(Projects!$C$35&lt;=CN$4,CN$4&lt;=Projects!$C$35+Projects!$D$35-1),Projects!$B$35/Projects!$D$35,"")</f>
        <v/>
      </c>
      <c r="CO41" s="567">
        <f>IF(AND(Projects!$C$35&lt;=CO$4,CO$4&lt;=Projects!$C$35+Projects!$D$35-1),Projects!$B$35/Projects!$D$35,"")</f>
        <v/>
      </c>
      <c r="CP41" s="567">
        <f>IF(AND(Projects!$C$35&lt;=CP$4,CP$4&lt;=Projects!$C$35+Projects!$D$35-1),Projects!$B$35/Projects!$D$35,"")</f>
        <v/>
      </c>
      <c r="CQ41" s="567">
        <f>IF(AND(Projects!$C$35&lt;=CQ$4,CQ$4&lt;=Projects!$C$35+Projects!$D$35-1),Projects!$B$35/Projects!$D$35,"")</f>
        <v/>
      </c>
      <c r="CR41" s="567">
        <f>IF(AND(Projects!$C$35&lt;=CR$4,CR$4&lt;=Projects!$C$35+Projects!$D$35-1),Projects!$B$35/Projects!$D$35,"")</f>
        <v/>
      </c>
      <c r="CS41" s="567">
        <f>IF(AND(Projects!$C$35&lt;=CS$4,CS$4&lt;=Projects!$C$35+Projects!$D$35-1),Projects!$B$35/Projects!$D$35,"")</f>
        <v/>
      </c>
      <c r="CT41" s="567">
        <f>IF(AND(Projects!$C$35&lt;=CT$4,CT$4&lt;=Projects!$C$35+Projects!$D$35-1),Projects!$B$35/Projects!$D$35,"")</f>
        <v/>
      </c>
      <c r="CU41" s="567">
        <f>IF(AND(Projects!$C$35&lt;=CU$4,CU$4&lt;=Projects!$C$35+Projects!$D$35-1),Projects!$B$35/Projects!$D$35,"")</f>
        <v/>
      </c>
      <c r="CV41" s="567">
        <f>IF(AND(Projects!$C$35&lt;=CV$4,CV$4&lt;=Projects!$C$35+Projects!$D$35-1),Projects!$B$35/Projects!$D$35,"")</f>
        <v/>
      </c>
      <c r="CW41" s="567">
        <f>IF(AND(Projects!$C$35&lt;=CW$4,CW$4&lt;=Projects!$C$35+Projects!$D$35-1),Projects!$B$35/Projects!$D$35,"")</f>
        <v/>
      </c>
      <c r="CX41" s="567">
        <f>IF(AND(Projects!$C$35&lt;=CX$4,CX$4&lt;=Projects!$C$35+Projects!$D$35-1),Projects!$B$35/Projects!$D$35,"")</f>
        <v/>
      </c>
      <c r="CY41" s="567">
        <f>IF(AND(Projects!$C$35&lt;=CY$4,CY$4&lt;=Projects!$C$35+Projects!$D$35-1),Projects!$B$35/Projects!$D$35,"")</f>
        <v/>
      </c>
      <c r="CZ41" s="567">
        <f>IF(AND(Projects!$C$35&lt;=CZ$4,CZ$4&lt;=Projects!$C$35+Projects!$D$35-1),Projects!$B$35/Projects!$D$35,"")</f>
        <v/>
      </c>
      <c r="DA41" s="567">
        <f>IF(AND(Projects!$C$35&lt;=DA$4,DA$4&lt;=Projects!$C$35+Projects!$D$35-1),Projects!$B$35/Projects!$D$35,"")</f>
        <v/>
      </c>
      <c r="DB41" s="567">
        <f>IF(AND(Projects!$C$35&lt;=DB$4,DB$4&lt;=Projects!$C$35+Projects!$D$35-1),Projects!$B$35/Projects!$D$35,"")</f>
        <v/>
      </c>
    </row>
    <row r="42" ht="15" customFormat="1" customHeight="1" s="380">
      <c r="A42" s="563" t="inlineStr">
        <is>
          <t>BD-20</t>
        </is>
      </c>
      <c r="B42" s="564">
        <f>Projects!$B$36</f>
        <v/>
      </c>
      <c r="C42" s="565">
        <f>EDATE(Model!$E$2,Projects!$C$36-1)</f>
        <v/>
      </c>
      <c r="D42" s="565">
        <f>EDATE(Model!$E$2,Projects!$C$36+Projects!$D$36-2)</f>
        <v/>
      </c>
      <c r="E42" s="566">
        <f>Projects!$D$36</f>
        <v/>
      </c>
      <c r="F42" s="564">
        <f>Projects!$B$36/Projects!$D$36</f>
        <v/>
      </c>
      <c r="G42" s="567">
        <f>IF(AND(Projects!$C$36&lt;=G$4,G$4&lt;=Projects!$C$36+Projects!$D$36-1),Projects!$B$36/Projects!$D$36,"")</f>
        <v/>
      </c>
      <c r="H42" s="567">
        <f>IF(AND(Projects!$C$36&lt;=H$4,H$4&lt;=Projects!$C$36+Projects!$D$36-1),Projects!$B$36/Projects!$D$36,"")</f>
        <v/>
      </c>
      <c r="I42" s="567">
        <f>IF(AND(Projects!$C$36&lt;=I$4,I$4&lt;=Projects!$C$36+Projects!$D$36-1),Projects!$B$36/Projects!$D$36,"")</f>
        <v/>
      </c>
      <c r="J42" s="567">
        <f>IF(AND(Projects!$C$36&lt;=J$4,J$4&lt;=Projects!$C$36+Projects!$D$36-1),Projects!$B$36/Projects!$D$36,"")</f>
        <v/>
      </c>
      <c r="K42" s="567">
        <f>IF(AND(Projects!$C$36&lt;=K$4,K$4&lt;=Projects!$C$36+Projects!$D$36-1),Projects!$B$36/Projects!$D$36,"")</f>
        <v/>
      </c>
      <c r="L42" s="567">
        <f>IF(AND(Projects!$C$36&lt;=L$4,L$4&lt;=Projects!$C$36+Projects!$D$36-1),Projects!$B$36/Projects!$D$36,"")</f>
        <v/>
      </c>
      <c r="M42" s="567">
        <f>IF(AND(Projects!$C$36&lt;=M$4,M$4&lt;=Projects!$C$36+Projects!$D$36-1),Projects!$B$36/Projects!$D$36,"")</f>
        <v/>
      </c>
      <c r="N42" s="567">
        <f>IF(AND(Projects!$C$36&lt;=N$4,N$4&lt;=Projects!$C$36+Projects!$D$36-1),Projects!$B$36/Projects!$D$36,"")</f>
        <v/>
      </c>
      <c r="O42" s="567">
        <f>IF(AND(Projects!$C$36&lt;=O$4,O$4&lt;=Projects!$C$36+Projects!$D$36-1),Projects!$B$36/Projects!$D$36,"")</f>
        <v/>
      </c>
      <c r="P42" s="567">
        <f>IF(AND(Projects!$C$36&lt;=P$4,P$4&lt;=Projects!$C$36+Projects!$D$36-1),Projects!$B$36/Projects!$D$36,"")</f>
        <v/>
      </c>
      <c r="Q42" s="567">
        <f>IF(AND(Projects!$C$36&lt;=Q$4,Q$4&lt;=Projects!$C$36+Projects!$D$36-1),Projects!$B$36/Projects!$D$36,"")</f>
        <v/>
      </c>
      <c r="R42" s="567">
        <f>IF(AND(Projects!$C$36&lt;=R$4,R$4&lt;=Projects!$C$36+Projects!$D$36-1),Projects!$B$36/Projects!$D$36,"")</f>
        <v/>
      </c>
      <c r="S42" s="567">
        <f>IF(AND(Projects!$C$36&lt;=S$4,S$4&lt;=Projects!$C$36+Projects!$D$36-1),Projects!$B$36/Projects!$D$36,"")</f>
        <v/>
      </c>
      <c r="T42" s="567">
        <f>IF(AND(Projects!$C$36&lt;=T$4,T$4&lt;=Projects!$C$36+Projects!$D$36-1),Projects!$B$36/Projects!$D$36,"")</f>
        <v/>
      </c>
      <c r="U42" s="567">
        <f>IF(AND(Projects!$C$36&lt;=U$4,U$4&lt;=Projects!$C$36+Projects!$D$36-1),Projects!$B$36/Projects!$D$36,"")</f>
        <v/>
      </c>
      <c r="V42" s="567">
        <f>IF(AND(Projects!$C$36&lt;=V$4,V$4&lt;=Projects!$C$36+Projects!$D$36-1),Projects!$B$36/Projects!$D$36,"")</f>
        <v/>
      </c>
      <c r="W42" s="567">
        <f>IF(AND(Projects!$C$36&lt;=W$4,W$4&lt;=Projects!$C$36+Projects!$D$36-1),Projects!$B$36/Projects!$D$36,"")</f>
        <v/>
      </c>
      <c r="X42" s="567">
        <f>IF(AND(Projects!$C$36&lt;=X$4,X$4&lt;=Projects!$C$36+Projects!$D$36-1),Projects!$B$36/Projects!$D$36,"")</f>
        <v/>
      </c>
      <c r="Y42" s="567">
        <f>IF(AND(Projects!$C$36&lt;=Y$4,Y$4&lt;=Projects!$C$36+Projects!$D$36-1),Projects!$B$36/Projects!$D$36,"")</f>
        <v/>
      </c>
      <c r="Z42" s="567">
        <f>IF(AND(Projects!$C$36&lt;=Z$4,Z$4&lt;=Projects!$C$36+Projects!$D$36-1),Projects!$B$36/Projects!$D$36,"")</f>
        <v/>
      </c>
      <c r="AA42" s="567">
        <f>IF(AND(Projects!$C$36&lt;=AA$4,AA$4&lt;=Projects!$C$36+Projects!$D$36-1),Projects!$B$36/Projects!$D$36,"")</f>
        <v/>
      </c>
      <c r="AB42" s="567">
        <f>IF(AND(Projects!$C$36&lt;=AB$4,AB$4&lt;=Projects!$C$36+Projects!$D$36-1),Projects!$B$36/Projects!$D$36,"")</f>
        <v/>
      </c>
      <c r="AC42" s="567">
        <f>IF(AND(Projects!$C$36&lt;=AC$4,AC$4&lt;=Projects!$C$36+Projects!$D$36-1),Projects!$B$36/Projects!$D$36,"")</f>
        <v/>
      </c>
      <c r="AD42" s="567">
        <f>IF(AND(Projects!$C$36&lt;=AD$4,AD$4&lt;=Projects!$C$36+Projects!$D$36-1),Projects!$B$36/Projects!$D$36,"")</f>
        <v/>
      </c>
      <c r="AE42" s="567">
        <f>IF(AND(Projects!$C$36&lt;=AE$4,AE$4&lt;=Projects!$C$36+Projects!$D$36-1),Projects!$B$36/Projects!$D$36,"")</f>
        <v/>
      </c>
      <c r="AF42" s="567">
        <f>IF(AND(Projects!$C$36&lt;=AF$4,AF$4&lt;=Projects!$C$36+Projects!$D$36-1),Projects!$B$36/Projects!$D$36,"")</f>
        <v/>
      </c>
      <c r="AG42" s="567">
        <f>IF(AND(Projects!$C$36&lt;=AG$4,AG$4&lt;=Projects!$C$36+Projects!$D$36-1),Projects!$B$36/Projects!$D$36,"")</f>
        <v/>
      </c>
      <c r="AH42" s="567">
        <f>IF(AND(Projects!$C$36&lt;=AH$4,AH$4&lt;=Projects!$C$36+Projects!$D$36-1),Projects!$B$36/Projects!$D$36,"")</f>
        <v/>
      </c>
      <c r="AI42" s="567">
        <f>IF(AND(Projects!$C$36&lt;=AI$4,AI$4&lt;=Projects!$C$36+Projects!$D$36-1),Projects!$B$36/Projects!$D$36,"")</f>
        <v/>
      </c>
      <c r="AJ42" s="567">
        <f>IF(AND(Projects!$C$36&lt;=AJ$4,AJ$4&lt;=Projects!$C$36+Projects!$D$36-1),Projects!$B$36/Projects!$D$36,"")</f>
        <v/>
      </c>
      <c r="AK42" s="567">
        <f>IF(AND(Projects!$C$36&lt;=AK$4,AK$4&lt;=Projects!$C$36+Projects!$D$36-1),Projects!$B$36/Projects!$D$36,"")</f>
        <v/>
      </c>
      <c r="AL42" s="567">
        <f>IF(AND(Projects!$C$36&lt;=AL$4,AL$4&lt;=Projects!$C$36+Projects!$D$36-1),Projects!$B$36/Projects!$D$36,"")</f>
        <v/>
      </c>
      <c r="AM42" s="567">
        <f>IF(AND(Projects!$C$36&lt;=AM$4,AM$4&lt;=Projects!$C$36+Projects!$D$36-1),Projects!$B$36/Projects!$D$36,"")</f>
        <v/>
      </c>
      <c r="AN42" s="567">
        <f>IF(AND(Projects!$C$36&lt;=AN$4,AN$4&lt;=Projects!$C$36+Projects!$D$36-1),Projects!$B$36/Projects!$D$36,"")</f>
        <v/>
      </c>
      <c r="AO42" s="567">
        <f>IF(AND(Projects!$C$36&lt;=AO$4,AO$4&lt;=Projects!$C$36+Projects!$D$36-1),Projects!$B$36/Projects!$D$36,"")</f>
        <v/>
      </c>
      <c r="AP42" s="567">
        <f>IF(AND(Projects!$C$36&lt;=AP$4,AP$4&lt;=Projects!$C$36+Projects!$D$36-1),Projects!$B$36/Projects!$D$36,"")</f>
        <v/>
      </c>
      <c r="AQ42" s="567">
        <f>IF(AND(Projects!$C$36&lt;=AQ$4,AQ$4&lt;=Projects!$C$36+Projects!$D$36-1),Projects!$B$36/Projects!$D$36,"")</f>
        <v/>
      </c>
      <c r="AR42" s="567">
        <f>IF(AND(Projects!$C$36&lt;=AR$4,AR$4&lt;=Projects!$C$36+Projects!$D$36-1),Projects!$B$36/Projects!$D$36,"")</f>
        <v/>
      </c>
      <c r="AS42" s="567">
        <f>IF(AND(Projects!$C$36&lt;=AS$4,AS$4&lt;=Projects!$C$36+Projects!$D$36-1),Projects!$B$36/Projects!$D$36,"")</f>
        <v/>
      </c>
      <c r="AT42" s="567">
        <f>IF(AND(Projects!$C$36&lt;=AT$4,AT$4&lt;=Projects!$C$36+Projects!$D$36-1),Projects!$B$36/Projects!$D$36,"")</f>
        <v/>
      </c>
      <c r="AU42" s="567">
        <f>IF(AND(Projects!$C$36&lt;=AU$4,AU$4&lt;=Projects!$C$36+Projects!$D$36-1),Projects!$B$36/Projects!$D$36,"")</f>
        <v/>
      </c>
      <c r="AV42" s="567">
        <f>IF(AND(Projects!$C$36&lt;=AV$4,AV$4&lt;=Projects!$C$36+Projects!$D$36-1),Projects!$B$36/Projects!$D$36,"")</f>
        <v/>
      </c>
      <c r="AW42" s="567">
        <f>IF(AND(Projects!$C$36&lt;=AW$4,AW$4&lt;=Projects!$C$36+Projects!$D$36-1),Projects!$B$36/Projects!$D$36,"")</f>
        <v/>
      </c>
      <c r="AX42" s="567">
        <f>IF(AND(Projects!$C$36&lt;=AX$4,AX$4&lt;=Projects!$C$36+Projects!$D$36-1),Projects!$B$36/Projects!$D$36,"")</f>
        <v/>
      </c>
      <c r="AY42" s="567">
        <f>IF(AND(Projects!$C$36&lt;=AY$4,AY$4&lt;=Projects!$C$36+Projects!$D$36-1),Projects!$B$36/Projects!$D$36,"")</f>
        <v/>
      </c>
      <c r="AZ42" s="567">
        <f>IF(AND(Projects!$C$36&lt;=AZ$4,AZ$4&lt;=Projects!$C$36+Projects!$D$36-1),Projects!$B$36/Projects!$D$36,"")</f>
        <v/>
      </c>
      <c r="BA42" s="567">
        <f>IF(AND(Projects!$C$36&lt;=BA$4,BA$4&lt;=Projects!$C$36+Projects!$D$36-1),Projects!$B$36/Projects!$D$36,"")</f>
        <v/>
      </c>
      <c r="BB42" s="567">
        <f>IF(AND(Projects!$C$36&lt;=BB$4,BB$4&lt;=Projects!$C$36+Projects!$D$36-1),Projects!$B$36/Projects!$D$36,"")</f>
        <v/>
      </c>
      <c r="BC42" s="567">
        <f>IF(AND(Projects!$C$36&lt;=BC$4,BC$4&lt;=Projects!$C$36+Projects!$D$36-1),Projects!$B$36/Projects!$D$36,"")</f>
        <v/>
      </c>
      <c r="BD42" s="567">
        <f>IF(AND(Projects!$C$36&lt;=BD$4,BD$4&lt;=Projects!$C$36+Projects!$D$36-1),Projects!$B$36/Projects!$D$36,"")</f>
        <v/>
      </c>
      <c r="BE42" s="567">
        <f>IF(AND(Projects!$C$36&lt;=BE$4,BE$4&lt;=Projects!$C$36+Projects!$D$36-1),Projects!$B$36/Projects!$D$36,"")</f>
        <v/>
      </c>
      <c r="BF42" s="567">
        <f>IF(AND(Projects!$C$36&lt;=BF$4,BF$4&lt;=Projects!$C$36+Projects!$D$36-1),Projects!$B$36/Projects!$D$36,"")</f>
        <v/>
      </c>
      <c r="BG42" s="567">
        <f>IF(AND(Projects!$C$36&lt;=BG$4,BG$4&lt;=Projects!$C$36+Projects!$D$36-1),Projects!$B$36/Projects!$D$36,"")</f>
        <v/>
      </c>
      <c r="BH42" s="567">
        <f>IF(AND(Projects!$C$36&lt;=BH$4,BH$4&lt;=Projects!$C$36+Projects!$D$36-1),Projects!$B$36/Projects!$D$36,"")</f>
        <v/>
      </c>
      <c r="BI42" s="567">
        <f>IF(AND(Projects!$C$36&lt;=BI$4,BI$4&lt;=Projects!$C$36+Projects!$D$36-1),Projects!$B$36/Projects!$D$36,"")</f>
        <v/>
      </c>
      <c r="BJ42" s="567">
        <f>IF(AND(Projects!$C$36&lt;=BJ$4,BJ$4&lt;=Projects!$C$36+Projects!$D$36-1),Projects!$B$36/Projects!$D$36,"")</f>
        <v/>
      </c>
      <c r="BK42" s="567">
        <f>IF(AND(Projects!$C$36&lt;=BK$4,BK$4&lt;=Projects!$C$36+Projects!$D$36-1),Projects!$B$36/Projects!$D$36,"")</f>
        <v/>
      </c>
      <c r="BL42" s="567">
        <f>IF(AND(Projects!$C$36&lt;=BL$4,BL$4&lt;=Projects!$C$36+Projects!$D$36-1),Projects!$B$36/Projects!$D$36,"")</f>
        <v/>
      </c>
      <c r="BM42" s="567">
        <f>IF(AND(Projects!$C$36&lt;=BM$4,BM$4&lt;=Projects!$C$36+Projects!$D$36-1),Projects!$B$36/Projects!$D$36,"")</f>
        <v/>
      </c>
      <c r="BN42" s="567">
        <f>IF(AND(Projects!$C$36&lt;=BN$4,BN$4&lt;=Projects!$C$36+Projects!$D$36-1),Projects!$B$36/Projects!$D$36,"")</f>
        <v/>
      </c>
      <c r="BO42" s="567">
        <f>IF(AND(Projects!$C$36&lt;=BO$4,BO$4&lt;=Projects!$C$36+Projects!$D$36-1),Projects!$B$36/Projects!$D$36,"")</f>
        <v/>
      </c>
      <c r="BP42" s="567">
        <f>IF(AND(Projects!$C$36&lt;=BP$4,BP$4&lt;=Projects!$C$36+Projects!$D$36-1),Projects!$B$36/Projects!$D$36,"")</f>
        <v/>
      </c>
      <c r="BQ42" s="567">
        <f>IF(AND(Projects!$C$36&lt;=BQ$4,BQ$4&lt;=Projects!$C$36+Projects!$D$36-1),Projects!$B$36/Projects!$D$36,"")</f>
        <v/>
      </c>
      <c r="BR42" s="567">
        <f>IF(AND(Projects!$C$36&lt;=BR$4,BR$4&lt;=Projects!$C$36+Projects!$D$36-1),Projects!$B$36/Projects!$D$36,"")</f>
        <v/>
      </c>
      <c r="BS42" s="567">
        <f>IF(AND(Projects!$C$36&lt;=BS$4,BS$4&lt;=Projects!$C$36+Projects!$D$36-1),Projects!$B$36/Projects!$D$36,"")</f>
        <v/>
      </c>
      <c r="BT42" s="567">
        <f>IF(AND(Projects!$C$36&lt;=BT$4,BT$4&lt;=Projects!$C$36+Projects!$D$36-1),Projects!$B$36/Projects!$D$36,"")</f>
        <v/>
      </c>
      <c r="BU42" s="567">
        <f>IF(AND(Projects!$C$36&lt;=BU$4,BU$4&lt;=Projects!$C$36+Projects!$D$36-1),Projects!$B$36/Projects!$D$36,"")</f>
        <v/>
      </c>
      <c r="BV42" s="567">
        <f>IF(AND(Projects!$C$36&lt;=BV$4,BV$4&lt;=Projects!$C$36+Projects!$D$36-1),Projects!$B$36/Projects!$D$36,"")</f>
        <v/>
      </c>
      <c r="BW42" s="567">
        <f>IF(AND(Projects!$C$36&lt;=BW$4,BW$4&lt;=Projects!$C$36+Projects!$D$36-1),Projects!$B$36/Projects!$D$36,"")</f>
        <v/>
      </c>
      <c r="BX42" s="567">
        <f>IF(AND(Projects!$C$36&lt;=BX$4,BX$4&lt;=Projects!$C$36+Projects!$D$36-1),Projects!$B$36/Projects!$D$36,"")</f>
        <v/>
      </c>
      <c r="BY42" s="567">
        <f>IF(AND(Projects!$C$36&lt;=BY$4,BY$4&lt;=Projects!$C$36+Projects!$D$36-1),Projects!$B$36/Projects!$D$36,"")</f>
        <v/>
      </c>
      <c r="BZ42" s="567">
        <f>IF(AND(Projects!$C$36&lt;=BZ$4,BZ$4&lt;=Projects!$C$36+Projects!$D$36-1),Projects!$B$36/Projects!$D$36,"")</f>
        <v/>
      </c>
      <c r="CA42" s="567">
        <f>IF(AND(Projects!$C$36&lt;=CA$4,CA$4&lt;=Projects!$C$36+Projects!$D$36-1),Projects!$B$36/Projects!$D$36,"")</f>
        <v/>
      </c>
      <c r="CB42" s="567">
        <f>IF(AND(Projects!$C$36&lt;=CB$4,CB$4&lt;=Projects!$C$36+Projects!$D$36-1),Projects!$B$36/Projects!$D$36,"")</f>
        <v/>
      </c>
      <c r="CC42" s="567">
        <f>IF(AND(Projects!$C$36&lt;=CC$4,CC$4&lt;=Projects!$C$36+Projects!$D$36-1),Projects!$B$36/Projects!$D$36,"")</f>
        <v/>
      </c>
      <c r="CD42" s="567">
        <f>IF(AND(Projects!$C$36&lt;=CD$4,CD$4&lt;=Projects!$C$36+Projects!$D$36-1),Projects!$B$36/Projects!$D$36,"")</f>
        <v/>
      </c>
      <c r="CE42" s="567">
        <f>IF(AND(Projects!$C$36&lt;=CE$4,CE$4&lt;=Projects!$C$36+Projects!$D$36-1),Projects!$B$36/Projects!$D$36,"")</f>
        <v/>
      </c>
      <c r="CF42" s="567">
        <f>IF(AND(Projects!$C$36&lt;=CF$4,CF$4&lt;=Projects!$C$36+Projects!$D$36-1),Projects!$B$36/Projects!$D$36,"")</f>
        <v/>
      </c>
      <c r="CG42" s="567">
        <f>IF(AND(Projects!$C$36&lt;=CG$4,CG$4&lt;=Projects!$C$36+Projects!$D$36-1),Projects!$B$36/Projects!$D$36,"")</f>
        <v/>
      </c>
      <c r="CH42" s="567">
        <f>IF(AND(Projects!$C$36&lt;=CH$4,CH$4&lt;=Projects!$C$36+Projects!$D$36-1),Projects!$B$36/Projects!$D$36,"")</f>
        <v/>
      </c>
      <c r="CI42" s="567">
        <f>IF(AND(Projects!$C$36&lt;=CI$4,CI$4&lt;=Projects!$C$36+Projects!$D$36-1),Projects!$B$36/Projects!$D$36,"")</f>
        <v/>
      </c>
      <c r="CJ42" s="567">
        <f>IF(AND(Projects!$C$36&lt;=CJ$4,CJ$4&lt;=Projects!$C$36+Projects!$D$36-1),Projects!$B$36/Projects!$D$36,"")</f>
        <v/>
      </c>
      <c r="CK42" s="567">
        <f>IF(AND(Projects!$C$36&lt;=CK$4,CK$4&lt;=Projects!$C$36+Projects!$D$36-1),Projects!$B$36/Projects!$D$36,"")</f>
        <v/>
      </c>
      <c r="CL42" s="567">
        <f>IF(AND(Projects!$C$36&lt;=CL$4,CL$4&lt;=Projects!$C$36+Projects!$D$36-1),Projects!$B$36/Projects!$D$36,"")</f>
        <v/>
      </c>
      <c r="CM42" s="567">
        <f>IF(AND(Projects!$C$36&lt;=CM$4,CM$4&lt;=Projects!$C$36+Projects!$D$36-1),Projects!$B$36/Projects!$D$36,"")</f>
        <v/>
      </c>
      <c r="CN42" s="567">
        <f>IF(AND(Projects!$C$36&lt;=CN$4,CN$4&lt;=Projects!$C$36+Projects!$D$36-1),Projects!$B$36/Projects!$D$36,"")</f>
        <v/>
      </c>
      <c r="CO42" s="567">
        <f>IF(AND(Projects!$C$36&lt;=CO$4,CO$4&lt;=Projects!$C$36+Projects!$D$36-1),Projects!$B$36/Projects!$D$36,"")</f>
        <v/>
      </c>
      <c r="CP42" s="567">
        <f>IF(AND(Projects!$C$36&lt;=CP$4,CP$4&lt;=Projects!$C$36+Projects!$D$36-1),Projects!$B$36/Projects!$D$36,"")</f>
        <v/>
      </c>
      <c r="CQ42" s="567">
        <f>IF(AND(Projects!$C$36&lt;=CQ$4,CQ$4&lt;=Projects!$C$36+Projects!$D$36-1),Projects!$B$36/Projects!$D$36,"")</f>
        <v/>
      </c>
      <c r="CR42" s="567">
        <f>IF(AND(Projects!$C$36&lt;=CR$4,CR$4&lt;=Projects!$C$36+Projects!$D$36-1),Projects!$B$36/Projects!$D$36,"")</f>
        <v/>
      </c>
      <c r="CS42" s="567">
        <f>IF(AND(Projects!$C$36&lt;=CS$4,CS$4&lt;=Projects!$C$36+Projects!$D$36-1),Projects!$B$36/Projects!$D$36,"")</f>
        <v/>
      </c>
      <c r="CT42" s="567">
        <f>IF(AND(Projects!$C$36&lt;=CT$4,CT$4&lt;=Projects!$C$36+Projects!$D$36-1),Projects!$B$36/Projects!$D$36,"")</f>
        <v/>
      </c>
      <c r="CU42" s="567">
        <f>IF(AND(Projects!$C$36&lt;=CU$4,CU$4&lt;=Projects!$C$36+Projects!$D$36-1),Projects!$B$36/Projects!$D$36,"")</f>
        <v/>
      </c>
      <c r="CV42" s="567">
        <f>IF(AND(Projects!$C$36&lt;=CV$4,CV$4&lt;=Projects!$C$36+Projects!$D$36-1),Projects!$B$36/Projects!$D$36,"")</f>
        <v/>
      </c>
      <c r="CW42" s="567">
        <f>IF(AND(Projects!$C$36&lt;=CW$4,CW$4&lt;=Projects!$C$36+Projects!$D$36-1),Projects!$B$36/Projects!$D$36,"")</f>
        <v/>
      </c>
      <c r="CX42" s="567">
        <f>IF(AND(Projects!$C$36&lt;=CX$4,CX$4&lt;=Projects!$C$36+Projects!$D$36-1),Projects!$B$36/Projects!$D$36,"")</f>
        <v/>
      </c>
      <c r="CY42" s="567">
        <f>IF(AND(Projects!$C$36&lt;=CY$4,CY$4&lt;=Projects!$C$36+Projects!$D$36-1),Projects!$B$36/Projects!$D$36,"")</f>
        <v/>
      </c>
      <c r="CZ42" s="567">
        <f>IF(AND(Projects!$C$36&lt;=CZ$4,CZ$4&lt;=Projects!$C$36+Projects!$D$36-1),Projects!$B$36/Projects!$D$36,"")</f>
        <v/>
      </c>
      <c r="DA42" s="567">
        <f>IF(AND(Projects!$C$36&lt;=DA$4,DA$4&lt;=Projects!$C$36+Projects!$D$36-1),Projects!$B$36/Projects!$D$36,"")</f>
        <v/>
      </c>
      <c r="DB42" s="567">
        <f>IF(AND(Projects!$C$36&lt;=DB$4,DB$4&lt;=Projects!$C$36+Projects!$D$36-1),Projects!$B$36/Projects!$D$36,"")</f>
        <v/>
      </c>
    </row>
    <row r="43" ht="15" customFormat="1" customHeight="1" s="380">
      <c r="A43" s="563" t="inlineStr">
        <is>
          <t>BD-21</t>
        </is>
      </c>
      <c r="B43" s="564">
        <f>Projects!$B$37</f>
        <v/>
      </c>
      <c r="C43" s="565">
        <f>EDATE(Model!$E$2,Projects!$C$37-1)</f>
        <v/>
      </c>
      <c r="D43" s="565">
        <f>EDATE(Model!$E$2,Projects!$C$37+Projects!$D$37-2)</f>
        <v/>
      </c>
      <c r="E43" s="566">
        <f>Projects!$D$37</f>
        <v/>
      </c>
      <c r="F43" s="564">
        <f>Projects!$B$37/Projects!$D$37</f>
        <v/>
      </c>
      <c r="G43" s="567">
        <f>IF(AND(Projects!$C$37&lt;=G$4,G$4&lt;=Projects!$C$37+Projects!$D$37-1),Projects!$B$37/Projects!$D$37,"")</f>
        <v/>
      </c>
      <c r="H43" s="567">
        <f>IF(AND(Projects!$C$37&lt;=H$4,H$4&lt;=Projects!$C$37+Projects!$D$37-1),Projects!$B$37/Projects!$D$37,"")</f>
        <v/>
      </c>
      <c r="I43" s="567">
        <f>IF(AND(Projects!$C$37&lt;=I$4,I$4&lt;=Projects!$C$37+Projects!$D$37-1),Projects!$B$37/Projects!$D$37,"")</f>
        <v/>
      </c>
      <c r="J43" s="567">
        <f>IF(AND(Projects!$C$37&lt;=J$4,J$4&lt;=Projects!$C$37+Projects!$D$37-1),Projects!$B$37/Projects!$D$37,"")</f>
        <v/>
      </c>
      <c r="K43" s="567">
        <f>IF(AND(Projects!$C$37&lt;=K$4,K$4&lt;=Projects!$C$37+Projects!$D$37-1),Projects!$B$37/Projects!$D$37,"")</f>
        <v/>
      </c>
      <c r="L43" s="567">
        <f>IF(AND(Projects!$C$37&lt;=L$4,L$4&lt;=Projects!$C$37+Projects!$D$37-1),Projects!$B$37/Projects!$D$37,"")</f>
        <v/>
      </c>
      <c r="M43" s="567">
        <f>IF(AND(Projects!$C$37&lt;=M$4,M$4&lt;=Projects!$C$37+Projects!$D$37-1),Projects!$B$37/Projects!$D$37,"")</f>
        <v/>
      </c>
      <c r="N43" s="567">
        <f>IF(AND(Projects!$C$37&lt;=N$4,N$4&lt;=Projects!$C$37+Projects!$D$37-1),Projects!$B$37/Projects!$D$37,"")</f>
        <v/>
      </c>
      <c r="O43" s="567">
        <f>IF(AND(Projects!$C$37&lt;=O$4,O$4&lt;=Projects!$C$37+Projects!$D$37-1),Projects!$B$37/Projects!$D$37,"")</f>
        <v/>
      </c>
      <c r="P43" s="567">
        <f>IF(AND(Projects!$C$37&lt;=P$4,P$4&lt;=Projects!$C$37+Projects!$D$37-1),Projects!$B$37/Projects!$D$37,"")</f>
        <v/>
      </c>
      <c r="Q43" s="567">
        <f>IF(AND(Projects!$C$37&lt;=Q$4,Q$4&lt;=Projects!$C$37+Projects!$D$37-1),Projects!$B$37/Projects!$D$37,"")</f>
        <v/>
      </c>
      <c r="R43" s="567">
        <f>IF(AND(Projects!$C$37&lt;=R$4,R$4&lt;=Projects!$C$37+Projects!$D$37-1),Projects!$B$37/Projects!$D$37,"")</f>
        <v/>
      </c>
      <c r="S43" s="567">
        <f>IF(AND(Projects!$C$37&lt;=S$4,S$4&lt;=Projects!$C$37+Projects!$D$37-1),Projects!$B$37/Projects!$D$37,"")</f>
        <v/>
      </c>
      <c r="T43" s="567">
        <f>IF(AND(Projects!$C$37&lt;=T$4,T$4&lt;=Projects!$C$37+Projects!$D$37-1),Projects!$B$37/Projects!$D$37,"")</f>
        <v/>
      </c>
      <c r="U43" s="567">
        <f>IF(AND(Projects!$C$37&lt;=U$4,U$4&lt;=Projects!$C$37+Projects!$D$37-1),Projects!$B$37/Projects!$D$37,"")</f>
        <v/>
      </c>
      <c r="V43" s="567">
        <f>IF(AND(Projects!$C$37&lt;=V$4,V$4&lt;=Projects!$C$37+Projects!$D$37-1),Projects!$B$37/Projects!$D$37,"")</f>
        <v/>
      </c>
      <c r="W43" s="567">
        <f>IF(AND(Projects!$C$37&lt;=W$4,W$4&lt;=Projects!$C$37+Projects!$D$37-1),Projects!$B$37/Projects!$D$37,"")</f>
        <v/>
      </c>
      <c r="X43" s="567">
        <f>IF(AND(Projects!$C$37&lt;=X$4,X$4&lt;=Projects!$C$37+Projects!$D$37-1),Projects!$B$37/Projects!$D$37,"")</f>
        <v/>
      </c>
      <c r="Y43" s="567">
        <f>IF(AND(Projects!$C$37&lt;=Y$4,Y$4&lt;=Projects!$C$37+Projects!$D$37-1),Projects!$B$37/Projects!$D$37,"")</f>
        <v/>
      </c>
      <c r="Z43" s="567">
        <f>IF(AND(Projects!$C$37&lt;=Z$4,Z$4&lt;=Projects!$C$37+Projects!$D$37-1),Projects!$B$37/Projects!$D$37,"")</f>
        <v/>
      </c>
      <c r="AA43" s="567">
        <f>IF(AND(Projects!$C$37&lt;=AA$4,AA$4&lt;=Projects!$C$37+Projects!$D$37-1),Projects!$B$37/Projects!$D$37,"")</f>
        <v/>
      </c>
      <c r="AB43" s="567">
        <f>IF(AND(Projects!$C$37&lt;=AB$4,AB$4&lt;=Projects!$C$37+Projects!$D$37-1),Projects!$B$37/Projects!$D$37,"")</f>
        <v/>
      </c>
      <c r="AC43" s="567">
        <f>IF(AND(Projects!$C$37&lt;=AC$4,AC$4&lt;=Projects!$C$37+Projects!$D$37-1),Projects!$B$37/Projects!$D$37,"")</f>
        <v/>
      </c>
      <c r="AD43" s="567">
        <f>IF(AND(Projects!$C$37&lt;=AD$4,AD$4&lt;=Projects!$C$37+Projects!$D$37-1),Projects!$B$37/Projects!$D$37,"")</f>
        <v/>
      </c>
      <c r="AE43" s="567">
        <f>IF(AND(Projects!$C$37&lt;=AE$4,AE$4&lt;=Projects!$C$37+Projects!$D$37-1),Projects!$B$37/Projects!$D$37,"")</f>
        <v/>
      </c>
      <c r="AF43" s="567">
        <f>IF(AND(Projects!$C$37&lt;=AF$4,AF$4&lt;=Projects!$C$37+Projects!$D$37-1),Projects!$B$37/Projects!$D$37,"")</f>
        <v/>
      </c>
      <c r="AG43" s="567">
        <f>IF(AND(Projects!$C$37&lt;=AG$4,AG$4&lt;=Projects!$C$37+Projects!$D$37-1),Projects!$B$37/Projects!$D$37,"")</f>
        <v/>
      </c>
      <c r="AH43" s="567">
        <f>IF(AND(Projects!$C$37&lt;=AH$4,AH$4&lt;=Projects!$C$37+Projects!$D$37-1),Projects!$B$37/Projects!$D$37,"")</f>
        <v/>
      </c>
      <c r="AI43" s="567">
        <f>IF(AND(Projects!$C$37&lt;=AI$4,AI$4&lt;=Projects!$C$37+Projects!$D$37-1),Projects!$B$37/Projects!$D$37,"")</f>
        <v/>
      </c>
      <c r="AJ43" s="567">
        <f>IF(AND(Projects!$C$37&lt;=AJ$4,AJ$4&lt;=Projects!$C$37+Projects!$D$37-1),Projects!$B$37/Projects!$D$37,"")</f>
        <v/>
      </c>
      <c r="AK43" s="567">
        <f>IF(AND(Projects!$C$37&lt;=AK$4,AK$4&lt;=Projects!$C$37+Projects!$D$37-1),Projects!$B$37/Projects!$D$37,"")</f>
        <v/>
      </c>
      <c r="AL43" s="567">
        <f>IF(AND(Projects!$C$37&lt;=AL$4,AL$4&lt;=Projects!$C$37+Projects!$D$37-1),Projects!$B$37/Projects!$D$37,"")</f>
        <v/>
      </c>
      <c r="AM43" s="567">
        <f>IF(AND(Projects!$C$37&lt;=AM$4,AM$4&lt;=Projects!$C$37+Projects!$D$37-1),Projects!$B$37/Projects!$D$37,"")</f>
        <v/>
      </c>
      <c r="AN43" s="567">
        <f>IF(AND(Projects!$C$37&lt;=AN$4,AN$4&lt;=Projects!$C$37+Projects!$D$37-1),Projects!$B$37/Projects!$D$37,"")</f>
        <v/>
      </c>
      <c r="AO43" s="567">
        <f>IF(AND(Projects!$C$37&lt;=AO$4,AO$4&lt;=Projects!$C$37+Projects!$D$37-1),Projects!$B$37/Projects!$D$37,"")</f>
        <v/>
      </c>
      <c r="AP43" s="567">
        <f>IF(AND(Projects!$C$37&lt;=AP$4,AP$4&lt;=Projects!$C$37+Projects!$D$37-1),Projects!$B$37/Projects!$D$37,"")</f>
        <v/>
      </c>
      <c r="AQ43" s="567">
        <f>IF(AND(Projects!$C$37&lt;=AQ$4,AQ$4&lt;=Projects!$C$37+Projects!$D$37-1),Projects!$B$37/Projects!$D$37,"")</f>
        <v/>
      </c>
      <c r="AR43" s="567">
        <f>IF(AND(Projects!$C$37&lt;=AR$4,AR$4&lt;=Projects!$C$37+Projects!$D$37-1),Projects!$B$37/Projects!$D$37,"")</f>
        <v/>
      </c>
      <c r="AS43" s="567">
        <f>IF(AND(Projects!$C$37&lt;=AS$4,AS$4&lt;=Projects!$C$37+Projects!$D$37-1),Projects!$B$37/Projects!$D$37,"")</f>
        <v/>
      </c>
      <c r="AT43" s="567">
        <f>IF(AND(Projects!$C$37&lt;=AT$4,AT$4&lt;=Projects!$C$37+Projects!$D$37-1),Projects!$B$37/Projects!$D$37,"")</f>
        <v/>
      </c>
      <c r="AU43" s="567">
        <f>IF(AND(Projects!$C$37&lt;=AU$4,AU$4&lt;=Projects!$C$37+Projects!$D$37-1),Projects!$B$37/Projects!$D$37,"")</f>
        <v/>
      </c>
      <c r="AV43" s="567">
        <f>IF(AND(Projects!$C$37&lt;=AV$4,AV$4&lt;=Projects!$C$37+Projects!$D$37-1),Projects!$B$37/Projects!$D$37,"")</f>
        <v/>
      </c>
      <c r="AW43" s="567">
        <f>IF(AND(Projects!$C$37&lt;=AW$4,AW$4&lt;=Projects!$C$37+Projects!$D$37-1),Projects!$B$37/Projects!$D$37,"")</f>
        <v/>
      </c>
      <c r="AX43" s="567">
        <f>IF(AND(Projects!$C$37&lt;=AX$4,AX$4&lt;=Projects!$C$37+Projects!$D$37-1),Projects!$B$37/Projects!$D$37,"")</f>
        <v/>
      </c>
      <c r="AY43" s="567">
        <f>IF(AND(Projects!$C$37&lt;=AY$4,AY$4&lt;=Projects!$C$37+Projects!$D$37-1),Projects!$B$37/Projects!$D$37,"")</f>
        <v/>
      </c>
      <c r="AZ43" s="567">
        <f>IF(AND(Projects!$C$37&lt;=AZ$4,AZ$4&lt;=Projects!$C$37+Projects!$D$37-1),Projects!$B$37/Projects!$D$37,"")</f>
        <v/>
      </c>
      <c r="BA43" s="567">
        <f>IF(AND(Projects!$C$37&lt;=BA$4,BA$4&lt;=Projects!$C$37+Projects!$D$37-1),Projects!$B$37/Projects!$D$37,"")</f>
        <v/>
      </c>
      <c r="BB43" s="567">
        <f>IF(AND(Projects!$C$37&lt;=BB$4,BB$4&lt;=Projects!$C$37+Projects!$D$37-1),Projects!$B$37/Projects!$D$37,"")</f>
        <v/>
      </c>
      <c r="BC43" s="567">
        <f>IF(AND(Projects!$C$37&lt;=BC$4,BC$4&lt;=Projects!$C$37+Projects!$D$37-1),Projects!$B$37/Projects!$D$37,"")</f>
        <v/>
      </c>
      <c r="BD43" s="567">
        <f>IF(AND(Projects!$C$37&lt;=BD$4,BD$4&lt;=Projects!$C$37+Projects!$D$37-1),Projects!$B$37/Projects!$D$37,"")</f>
        <v/>
      </c>
      <c r="BE43" s="567">
        <f>IF(AND(Projects!$C$37&lt;=BE$4,BE$4&lt;=Projects!$C$37+Projects!$D$37-1),Projects!$B$37/Projects!$D$37,"")</f>
        <v/>
      </c>
      <c r="BF43" s="567">
        <f>IF(AND(Projects!$C$37&lt;=BF$4,BF$4&lt;=Projects!$C$37+Projects!$D$37-1),Projects!$B$37/Projects!$D$37,"")</f>
        <v/>
      </c>
      <c r="BG43" s="567">
        <f>IF(AND(Projects!$C$37&lt;=BG$4,BG$4&lt;=Projects!$C$37+Projects!$D$37-1),Projects!$B$37/Projects!$D$37,"")</f>
        <v/>
      </c>
      <c r="BH43" s="567">
        <f>IF(AND(Projects!$C$37&lt;=BH$4,BH$4&lt;=Projects!$C$37+Projects!$D$37-1),Projects!$B$37/Projects!$D$37,"")</f>
        <v/>
      </c>
      <c r="BI43" s="567">
        <f>IF(AND(Projects!$C$37&lt;=BI$4,BI$4&lt;=Projects!$C$37+Projects!$D$37-1),Projects!$B$37/Projects!$D$37,"")</f>
        <v/>
      </c>
      <c r="BJ43" s="567">
        <f>IF(AND(Projects!$C$37&lt;=BJ$4,BJ$4&lt;=Projects!$C$37+Projects!$D$37-1),Projects!$B$37/Projects!$D$37,"")</f>
        <v/>
      </c>
      <c r="BK43" s="567">
        <f>IF(AND(Projects!$C$37&lt;=BK$4,BK$4&lt;=Projects!$C$37+Projects!$D$37-1),Projects!$B$37/Projects!$D$37,"")</f>
        <v/>
      </c>
      <c r="BL43" s="567">
        <f>IF(AND(Projects!$C$37&lt;=BL$4,BL$4&lt;=Projects!$C$37+Projects!$D$37-1),Projects!$B$37/Projects!$D$37,"")</f>
        <v/>
      </c>
      <c r="BM43" s="567">
        <f>IF(AND(Projects!$C$37&lt;=BM$4,BM$4&lt;=Projects!$C$37+Projects!$D$37-1),Projects!$B$37/Projects!$D$37,"")</f>
        <v/>
      </c>
      <c r="BN43" s="567">
        <f>IF(AND(Projects!$C$37&lt;=BN$4,BN$4&lt;=Projects!$C$37+Projects!$D$37-1),Projects!$B$37/Projects!$D$37,"")</f>
        <v/>
      </c>
      <c r="BO43" s="567">
        <f>IF(AND(Projects!$C$37&lt;=BO$4,BO$4&lt;=Projects!$C$37+Projects!$D$37-1),Projects!$B$37/Projects!$D$37,"")</f>
        <v/>
      </c>
      <c r="BP43" s="567">
        <f>IF(AND(Projects!$C$37&lt;=BP$4,BP$4&lt;=Projects!$C$37+Projects!$D$37-1),Projects!$B$37/Projects!$D$37,"")</f>
        <v/>
      </c>
      <c r="BQ43" s="567">
        <f>IF(AND(Projects!$C$37&lt;=BQ$4,BQ$4&lt;=Projects!$C$37+Projects!$D$37-1),Projects!$B$37/Projects!$D$37,"")</f>
        <v/>
      </c>
      <c r="BR43" s="567">
        <f>IF(AND(Projects!$C$37&lt;=BR$4,BR$4&lt;=Projects!$C$37+Projects!$D$37-1),Projects!$B$37/Projects!$D$37,"")</f>
        <v/>
      </c>
      <c r="BS43" s="567">
        <f>IF(AND(Projects!$C$37&lt;=BS$4,BS$4&lt;=Projects!$C$37+Projects!$D$37-1),Projects!$B$37/Projects!$D$37,"")</f>
        <v/>
      </c>
      <c r="BT43" s="567">
        <f>IF(AND(Projects!$C$37&lt;=BT$4,BT$4&lt;=Projects!$C$37+Projects!$D$37-1),Projects!$B$37/Projects!$D$37,"")</f>
        <v/>
      </c>
      <c r="BU43" s="567">
        <f>IF(AND(Projects!$C$37&lt;=BU$4,BU$4&lt;=Projects!$C$37+Projects!$D$37-1),Projects!$B$37/Projects!$D$37,"")</f>
        <v/>
      </c>
      <c r="BV43" s="567">
        <f>IF(AND(Projects!$C$37&lt;=BV$4,BV$4&lt;=Projects!$C$37+Projects!$D$37-1),Projects!$B$37/Projects!$D$37,"")</f>
        <v/>
      </c>
      <c r="BW43" s="567">
        <f>IF(AND(Projects!$C$37&lt;=BW$4,BW$4&lt;=Projects!$C$37+Projects!$D$37-1),Projects!$B$37/Projects!$D$37,"")</f>
        <v/>
      </c>
      <c r="BX43" s="567">
        <f>IF(AND(Projects!$C$37&lt;=BX$4,BX$4&lt;=Projects!$C$37+Projects!$D$37-1),Projects!$B$37/Projects!$D$37,"")</f>
        <v/>
      </c>
      <c r="BY43" s="567">
        <f>IF(AND(Projects!$C$37&lt;=BY$4,BY$4&lt;=Projects!$C$37+Projects!$D$37-1),Projects!$B$37/Projects!$D$37,"")</f>
        <v/>
      </c>
      <c r="BZ43" s="567">
        <f>IF(AND(Projects!$C$37&lt;=BZ$4,BZ$4&lt;=Projects!$C$37+Projects!$D$37-1),Projects!$B$37/Projects!$D$37,"")</f>
        <v/>
      </c>
      <c r="CA43" s="567">
        <f>IF(AND(Projects!$C$37&lt;=CA$4,CA$4&lt;=Projects!$C$37+Projects!$D$37-1),Projects!$B$37/Projects!$D$37,"")</f>
        <v/>
      </c>
      <c r="CB43" s="567">
        <f>IF(AND(Projects!$C$37&lt;=CB$4,CB$4&lt;=Projects!$C$37+Projects!$D$37-1),Projects!$B$37/Projects!$D$37,"")</f>
        <v/>
      </c>
      <c r="CC43" s="567">
        <f>IF(AND(Projects!$C$37&lt;=CC$4,CC$4&lt;=Projects!$C$37+Projects!$D$37-1),Projects!$B$37/Projects!$D$37,"")</f>
        <v/>
      </c>
      <c r="CD43" s="567">
        <f>IF(AND(Projects!$C$37&lt;=CD$4,CD$4&lt;=Projects!$C$37+Projects!$D$37-1),Projects!$B$37/Projects!$D$37,"")</f>
        <v/>
      </c>
      <c r="CE43" s="567">
        <f>IF(AND(Projects!$C$37&lt;=CE$4,CE$4&lt;=Projects!$C$37+Projects!$D$37-1),Projects!$B$37/Projects!$D$37,"")</f>
        <v/>
      </c>
      <c r="CF43" s="567">
        <f>IF(AND(Projects!$C$37&lt;=CF$4,CF$4&lt;=Projects!$C$37+Projects!$D$37-1),Projects!$B$37/Projects!$D$37,"")</f>
        <v/>
      </c>
      <c r="CG43" s="567">
        <f>IF(AND(Projects!$C$37&lt;=CG$4,CG$4&lt;=Projects!$C$37+Projects!$D$37-1),Projects!$B$37/Projects!$D$37,"")</f>
        <v/>
      </c>
      <c r="CH43" s="567">
        <f>IF(AND(Projects!$C$37&lt;=CH$4,CH$4&lt;=Projects!$C$37+Projects!$D$37-1),Projects!$B$37/Projects!$D$37,"")</f>
        <v/>
      </c>
      <c r="CI43" s="567">
        <f>IF(AND(Projects!$C$37&lt;=CI$4,CI$4&lt;=Projects!$C$37+Projects!$D$37-1),Projects!$B$37/Projects!$D$37,"")</f>
        <v/>
      </c>
      <c r="CJ43" s="567">
        <f>IF(AND(Projects!$C$37&lt;=CJ$4,CJ$4&lt;=Projects!$C$37+Projects!$D$37-1),Projects!$B$37/Projects!$D$37,"")</f>
        <v/>
      </c>
      <c r="CK43" s="567">
        <f>IF(AND(Projects!$C$37&lt;=CK$4,CK$4&lt;=Projects!$C$37+Projects!$D$37-1),Projects!$B$37/Projects!$D$37,"")</f>
        <v/>
      </c>
      <c r="CL43" s="567">
        <f>IF(AND(Projects!$C$37&lt;=CL$4,CL$4&lt;=Projects!$C$37+Projects!$D$37-1),Projects!$B$37/Projects!$D$37,"")</f>
        <v/>
      </c>
      <c r="CM43" s="567">
        <f>IF(AND(Projects!$C$37&lt;=CM$4,CM$4&lt;=Projects!$C$37+Projects!$D$37-1),Projects!$B$37/Projects!$D$37,"")</f>
        <v/>
      </c>
      <c r="CN43" s="567">
        <f>IF(AND(Projects!$C$37&lt;=CN$4,CN$4&lt;=Projects!$C$37+Projects!$D$37-1),Projects!$B$37/Projects!$D$37,"")</f>
        <v/>
      </c>
      <c r="CO43" s="567">
        <f>IF(AND(Projects!$C$37&lt;=CO$4,CO$4&lt;=Projects!$C$37+Projects!$D$37-1),Projects!$B$37/Projects!$D$37,"")</f>
        <v/>
      </c>
      <c r="CP43" s="567">
        <f>IF(AND(Projects!$C$37&lt;=CP$4,CP$4&lt;=Projects!$C$37+Projects!$D$37-1),Projects!$B$37/Projects!$D$37,"")</f>
        <v/>
      </c>
      <c r="CQ43" s="567">
        <f>IF(AND(Projects!$C$37&lt;=CQ$4,CQ$4&lt;=Projects!$C$37+Projects!$D$37-1),Projects!$B$37/Projects!$D$37,"")</f>
        <v/>
      </c>
      <c r="CR43" s="567">
        <f>IF(AND(Projects!$C$37&lt;=CR$4,CR$4&lt;=Projects!$C$37+Projects!$D$37-1),Projects!$B$37/Projects!$D$37,"")</f>
        <v/>
      </c>
      <c r="CS43" s="567">
        <f>IF(AND(Projects!$C$37&lt;=CS$4,CS$4&lt;=Projects!$C$37+Projects!$D$37-1),Projects!$B$37/Projects!$D$37,"")</f>
        <v/>
      </c>
      <c r="CT43" s="567">
        <f>IF(AND(Projects!$C$37&lt;=CT$4,CT$4&lt;=Projects!$C$37+Projects!$D$37-1),Projects!$B$37/Projects!$D$37,"")</f>
        <v/>
      </c>
      <c r="CU43" s="567">
        <f>IF(AND(Projects!$C$37&lt;=CU$4,CU$4&lt;=Projects!$C$37+Projects!$D$37-1),Projects!$B$37/Projects!$D$37,"")</f>
        <v/>
      </c>
      <c r="CV43" s="567">
        <f>IF(AND(Projects!$C$37&lt;=CV$4,CV$4&lt;=Projects!$C$37+Projects!$D$37-1),Projects!$B$37/Projects!$D$37,"")</f>
        <v/>
      </c>
      <c r="CW43" s="567">
        <f>IF(AND(Projects!$C$37&lt;=CW$4,CW$4&lt;=Projects!$C$37+Projects!$D$37-1),Projects!$B$37/Projects!$D$37,"")</f>
        <v/>
      </c>
      <c r="CX43" s="567">
        <f>IF(AND(Projects!$C$37&lt;=CX$4,CX$4&lt;=Projects!$C$37+Projects!$D$37-1),Projects!$B$37/Projects!$D$37,"")</f>
        <v/>
      </c>
      <c r="CY43" s="567">
        <f>IF(AND(Projects!$C$37&lt;=CY$4,CY$4&lt;=Projects!$C$37+Projects!$D$37-1),Projects!$B$37/Projects!$D$37,"")</f>
        <v/>
      </c>
      <c r="CZ43" s="567">
        <f>IF(AND(Projects!$C$37&lt;=CZ$4,CZ$4&lt;=Projects!$C$37+Projects!$D$37-1),Projects!$B$37/Projects!$D$37,"")</f>
        <v/>
      </c>
      <c r="DA43" s="567">
        <f>IF(AND(Projects!$C$37&lt;=DA$4,DA$4&lt;=Projects!$C$37+Projects!$D$37-1),Projects!$B$37/Projects!$D$37,"")</f>
        <v/>
      </c>
      <c r="DB43" s="567">
        <f>IF(AND(Projects!$C$37&lt;=DB$4,DB$4&lt;=Projects!$C$37+Projects!$D$37-1),Projects!$B$37/Projects!$D$37,"")</f>
        <v/>
      </c>
    </row>
    <row r="44" ht="15" customFormat="1" customHeight="1" s="380">
      <c r="A44" s="563" t="inlineStr">
        <is>
          <t>BD-22</t>
        </is>
      </c>
      <c r="B44" s="564">
        <f>Projects!$B$38</f>
        <v/>
      </c>
      <c r="C44" s="565">
        <f>EDATE(Model!$E$2,Projects!$C$38-1)</f>
        <v/>
      </c>
      <c r="D44" s="565">
        <f>EDATE(Model!$E$2,Projects!$C$38+Projects!$D$38-2)</f>
        <v/>
      </c>
      <c r="E44" s="566">
        <f>Projects!$D$38</f>
        <v/>
      </c>
      <c r="F44" s="564">
        <f>Projects!$B$38/Projects!$D$38</f>
        <v/>
      </c>
      <c r="G44" s="567">
        <f>IF(AND(Projects!$C$38&lt;=G$4,G$4&lt;=Projects!$C$38+Projects!$D$38-1),Projects!$B$38/Projects!$D$38,"")</f>
        <v/>
      </c>
      <c r="H44" s="567">
        <f>IF(AND(Projects!$C$38&lt;=H$4,H$4&lt;=Projects!$C$38+Projects!$D$38-1),Projects!$B$38/Projects!$D$38,"")</f>
        <v/>
      </c>
      <c r="I44" s="567">
        <f>IF(AND(Projects!$C$38&lt;=I$4,I$4&lt;=Projects!$C$38+Projects!$D$38-1),Projects!$B$38/Projects!$D$38,"")</f>
        <v/>
      </c>
      <c r="J44" s="567">
        <f>IF(AND(Projects!$C$38&lt;=J$4,J$4&lt;=Projects!$C$38+Projects!$D$38-1),Projects!$B$38/Projects!$D$38,"")</f>
        <v/>
      </c>
      <c r="K44" s="567">
        <f>IF(AND(Projects!$C$38&lt;=K$4,K$4&lt;=Projects!$C$38+Projects!$D$38-1),Projects!$B$38/Projects!$D$38,"")</f>
        <v/>
      </c>
      <c r="L44" s="567">
        <f>IF(AND(Projects!$C$38&lt;=L$4,L$4&lt;=Projects!$C$38+Projects!$D$38-1),Projects!$B$38/Projects!$D$38,"")</f>
        <v/>
      </c>
      <c r="M44" s="567">
        <f>IF(AND(Projects!$C$38&lt;=M$4,M$4&lt;=Projects!$C$38+Projects!$D$38-1),Projects!$B$38/Projects!$D$38,"")</f>
        <v/>
      </c>
      <c r="N44" s="567">
        <f>IF(AND(Projects!$C$38&lt;=N$4,N$4&lt;=Projects!$C$38+Projects!$D$38-1),Projects!$B$38/Projects!$D$38,"")</f>
        <v/>
      </c>
      <c r="O44" s="567">
        <f>IF(AND(Projects!$C$38&lt;=O$4,O$4&lt;=Projects!$C$38+Projects!$D$38-1),Projects!$B$38/Projects!$D$38,"")</f>
        <v/>
      </c>
      <c r="P44" s="567">
        <f>IF(AND(Projects!$C$38&lt;=P$4,P$4&lt;=Projects!$C$38+Projects!$D$38-1),Projects!$B$38/Projects!$D$38,"")</f>
        <v/>
      </c>
      <c r="Q44" s="567">
        <f>IF(AND(Projects!$C$38&lt;=Q$4,Q$4&lt;=Projects!$C$38+Projects!$D$38-1),Projects!$B$38/Projects!$D$38,"")</f>
        <v/>
      </c>
      <c r="R44" s="567">
        <f>IF(AND(Projects!$C$38&lt;=R$4,R$4&lt;=Projects!$C$38+Projects!$D$38-1),Projects!$B$38/Projects!$D$38,"")</f>
        <v/>
      </c>
      <c r="S44" s="567">
        <f>IF(AND(Projects!$C$38&lt;=S$4,S$4&lt;=Projects!$C$38+Projects!$D$38-1),Projects!$B$38/Projects!$D$38,"")</f>
        <v/>
      </c>
      <c r="T44" s="567">
        <f>IF(AND(Projects!$C$38&lt;=T$4,T$4&lt;=Projects!$C$38+Projects!$D$38-1),Projects!$B$38/Projects!$D$38,"")</f>
        <v/>
      </c>
      <c r="U44" s="567">
        <f>IF(AND(Projects!$C$38&lt;=U$4,U$4&lt;=Projects!$C$38+Projects!$D$38-1),Projects!$B$38/Projects!$D$38,"")</f>
        <v/>
      </c>
      <c r="V44" s="567">
        <f>IF(AND(Projects!$C$38&lt;=V$4,V$4&lt;=Projects!$C$38+Projects!$D$38-1),Projects!$B$38/Projects!$D$38,"")</f>
        <v/>
      </c>
      <c r="W44" s="567">
        <f>IF(AND(Projects!$C$38&lt;=W$4,W$4&lt;=Projects!$C$38+Projects!$D$38-1),Projects!$B$38/Projects!$D$38,"")</f>
        <v/>
      </c>
      <c r="X44" s="567">
        <f>IF(AND(Projects!$C$38&lt;=X$4,X$4&lt;=Projects!$C$38+Projects!$D$38-1),Projects!$B$38/Projects!$D$38,"")</f>
        <v/>
      </c>
      <c r="Y44" s="567">
        <f>IF(AND(Projects!$C$38&lt;=Y$4,Y$4&lt;=Projects!$C$38+Projects!$D$38-1),Projects!$B$38/Projects!$D$38,"")</f>
        <v/>
      </c>
      <c r="Z44" s="567">
        <f>IF(AND(Projects!$C$38&lt;=Z$4,Z$4&lt;=Projects!$C$38+Projects!$D$38-1),Projects!$B$38/Projects!$D$38,"")</f>
        <v/>
      </c>
      <c r="AA44" s="567">
        <f>IF(AND(Projects!$C$38&lt;=AA$4,AA$4&lt;=Projects!$C$38+Projects!$D$38-1),Projects!$B$38/Projects!$D$38,"")</f>
        <v/>
      </c>
      <c r="AB44" s="567">
        <f>IF(AND(Projects!$C$38&lt;=AB$4,AB$4&lt;=Projects!$C$38+Projects!$D$38-1),Projects!$B$38/Projects!$D$38,"")</f>
        <v/>
      </c>
      <c r="AC44" s="567">
        <f>IF(AND(Projects!$C$38&lt;=AC$4,AC$4&lt;=Projects!$C$38+Projects!$D$38-1),Projects!$B$38/Projects!$D$38,"")</f>
        <v/>
      </c>
      <c r="AD44" s="567">
        <f>IF(AND(Projects!$C$38&lt;=AD$4,AD$4&lt;=Projects!$C$38+Projects!$D$38-1),Projects!$B$38/Projects!$D$38,"")</f>
        <v/>
      </c>
      <c r="AE44" s="567">
        <f>IF(AND(Projects!$C$38&lt;=AE$4,AE$4&lt;=Projects!$C$38+Projects!$D$38-1),Projects!$B$38/Projects!$D$38,"")</f>
        <v/>
      </c>
      <c r="AF44" s="567">
        <f>IF(AND(Projects!$C$38&lt;=AF$4,AF$4&lt;=Projects!$C$38+Projects!$D$38-1),Projects!$B$38/Projects!$D$38,"")</f>
        <v/>
      </c>
      <c r="AG44" s="567">
        <f>IF(AND(Projects!$C$38&lt;=AG$4,AG$4&lt;=Projects!$C$38+Projects!$D$38-1),Projects!$B$38/Projects!$D$38,"")</f>
        <v/>
      </c>
      <c r="AH44" s="567">
        <f>IF(AND(Projects!$C$38&lt;=AH$4,AH$4&lt;=Projects!$C$38+Projects!$D$38-1),Projects!$B$38/Projects!$D$38,"")</f>
        <v/>
      </c>
      <c r="AI44" s="567">
        <f>IF(AND(Projects!$C$38&lt;=AI$4,AI$4&lt;=Projects!$C$38+Projects!$D$38-1),Projects!$B$38/Projects!$D$38,"")</f>
        <v/>
      </c>
      <c r="AJ44" s="567">
        <f>IF(AND(Projects!$C$38&lt;=AJ$4,AJ$4&lt;=Projects!$C$38+Projects!$D$38-1),Projects!$B$38/Projects!$D$38,"")</f>
        <v/>
      </c>
      <c r="AK44" s="567">
        <f>IF(AND(Projects!$C$38&lt;=AK$4,AK$4&lt;=Projects!$C$38+Projects!$D$38-1),Projects!$B$38/Projects!$D$38,"")</f>
        <v/>
      </c>
      <c r="AL44" s="567">
        <f>IF(AND(Projects!$C$38&lt;=AL$4,AL$4&lt;=Projects!$C$38+Projects!$D$38-1),Projects!$B$38/Projects!$D$38,"")</f>
        <v/>
      </c>
      <c r="AM44" s="567">
        <f>IF(AND(Projects!$C$38&lt;=AM$4,AM$4&lt;=Projects!$C$38+Projects!$D$38-1),Projects!$B$38/Projects!$D$38,"")</f>
        <v/>
      </c>
      <c r="AN44" s="567">
        <f>IF(AND(Projects!$C$38&lt;=AN$4,AN$4&lt;=Projects!$C$38+Projects!$D$38-1),Projects!$B$38/Projects!$D$38,"")</f>
        <v/>
      </c>
      <c r="AO44" s="567">
        <f>IF(AND(Projects!$C$38&lt;=AO$4,AO$4&lt;=Projects!$C$38+Projects!$D$38-1),Projects!$B$38/Projects!$D$38,"")</f>
        <v/>
      </c>
      <c r="AP44" s="567">
        <f>IF(AND(Projects!$C$38&lt;=AP$4,AP$4&lt;=Projects!$C$38+Projects!$D$38-1),Projects!$B$38/Projects!$D$38,"")</f>
        <v/>
      </c>
      <c r="AQ44" s="567">
        <f>IF(AND(Projects!$C$38&lt;=AQ$4,AQ$4&lt;=Projects!$C$38+Projects!$D$38-1),Projects!$B$38/Projects!$D$38,"")</f>
        <v/>
      </c>
      <c r="AR44" s="567">
        <f>IF(AND(Projects!$C$38&lt;=AR$4,AR$4&lt;=Projects!$C$38+Projects!$D$38-1),Projects!$B$38/Projects!$D$38,"")</f>
        <v/>
      </c>
      <c r="AS44" s="567">
        <f>IF(AND(Projects!$C$38&lt;=AS$4,AS$4&lt;=Projects!$C$38+Projects!$D$38-1),Projects!$B$38/Projects!$D$38,"")</f>
        <v/>
      </c>
      <c r="AT44" s="567">
        <f>IF(AND(Projects!$C$38&lt;=AT$4,AT$4&lt;=Projects!$C$38+Projects!$D$38-1),Projects!$B$38/Projects!$D$38,"")</f>
        <v/>
      </c>
      <c r="AU44" s="567">
        <f>IF(AND(Projects!$C$38&lt;=AU$4,AU$4&lt;=Projects!$C$38+Projects!$D$38-1),Projects!$B$38/Projects!$D$38,"")</f>
        <v/>
      </c>
      <c r="AV44" s="567">
        <f>IF(AND(Projects!$C$38&lt;=AV$4,AV$4&lt;=Projects!$C$38+Projects!$D$38-1),Projects!$B$38/Projects!$D$38,"")</f>
        <v/>
      </c>
      <c r="AW44" s="567">
        <f>IF(AND(Projects!$C$38&lt;=AW$4,AW$4&lt;=Projects!$C$38+Projects!$D$38-1),Projects!$B$38/Projects!$D$38,"")</f>
        <v/>
      </c>
      <c r="AX44" s="567">
        <f>IF(AND(Projects!$C$38&lt;=AX$4,AX$4&lt;=Projects!$C$38+Projects!$D$38-1),Projects!$B$38/Projects!$D$38,"")</f>
        <v/>
      </c>
      <c r="AY44" s="567">
        <f>IF(AND(Projects!$C$38&lt;=AY$4,AY$4&lt;=Projects!$C$38+Projects!$D$38-1),Projects!$B$38/Projects!$D$38,"")</f>
        <v/>
      </c>
      <c r="AZ44" s="567">
        <f>IF(AND(Projects!$C$38&lt;=AZ$4,AZ$4&lt;=Projects!$C$38+Projects!$D$38-1),Projects!$B$38/Projects!$D$38,"")</f>
        <v/>
      </c>
      <c r="BA44" s="567">
        <f>IF(AND(Projects!$C$38&lt;=BA$4,BA$4&lt;=Projects!$C$38+Projects!$D$38-1),Projects!$B$38/Projects!$D$38,"")</f>
        <v/>
      </c>
      <c r="BB44" s="567">
        <f>IF(AND(Projects!$C$38&lt;=BB$4,BB$4&lt;=Projects!$C$38+Projects!$D$38-1),Projects!$B$38/Projects!$D$38,"")</f>
        <v/>
      </c>
      <c r="BC44" s="567">
        <f>IF(AND(Projects!$C$38&lt;=BC$4,BC$4&lt;=Projects!$C$38+Projects!$D$38-1),Projects!$B$38/Projects!$D$38,"")</f>
        <v/>
      </c>
      <c r="BD44" s="567">
        <f>IF(AND(Projects!$C$38&lt;=BD$4,BD$4&lt;=Projects!$C$38+Projects!$D$38-1),Projects!$B$38/Projects!$D$38,"")</f>
        <v/>
      </c>
      <c r="BE44" s="567">
        <f>IF(AND(Projects!$C$38&lt;=BE$4,BE$4&lt;=Projects!$C$38+Projects!$D$38-1),Projects!$B$38/Projects!$D$38,"")</f>
        <v/>
      </c>
      <c r="BF44" s="567">
        <f>IF(AND(Projects!$C$38&lt;=BF$4,BF$4&lt;=Projects!$C$38+Projects!$D$38-1),Projects!$B$38/Projects!$D$38,"")</f>
        <v/>
      </c>
      <c r="BG44" s="567">
        <f>IF(AND(Projects!$C$38&lt;=BG$4,BG$4&lt;=Projects!$C$38+Projects!$D$38-1),Projects!$B$38/Projects!$D$38,"")</f>
        <v/>
      </c>
      <c r="BH44" s="567">
        <f>IF(AND(Projects!$C$38&lt;=BH$4,BH$4&lt;=Projects!$C$38+Projects!$D$38-1),Projects!$B$38/Projects!$D$38,"")</f>
        <v/>
      </c>
      <c r="BI44" s="567">
        <f>IF(AND(Projects!$C$38&lt;=BI$4,BI$4&lt;=Projects!$C$38+Projects!$D$38-1),Projects!$B$38/Projects!$D$38,"")</f>
        <v/>
      </c>
      <c r="BJ44" s="567">
        <f>IF(AND(Projects!$C$38&lt;=BJ$4,BJ$4&lt;=Projects!$C$38+Projects!$D$38-1),Projects!$B$38/Projects!$D$38,"")</f>
        <v/>
      </c>
      <c r="BK44" s="567">
        <f>IF(AND(Projects!$C$38&lt;=BK$4,BK$4&lt;=Projects!$C$38+Projects!$D$38-1),Projects!$B$38/Projects!$D$38,"")</f>
        <v/>
      </c>
      <c r="BL44" s="567">
        <f>IF(AND(Projects!$C$38&lt;=BL$4,BL$4&lt;=Projects!$C$38+Projects!$D$38-1),Projects!$B$38/Projects!$D$38,"")</f>
        <v/>
      </c>
      <c r="BM44" s="567">
        <f>IF(AND(Projects!$C$38&lt;=BM$4,BM$4&lt;=Projects!$C$38+Projects!$D$38-1),Projects!$B$38/Projects!$D$38,"")</f>
        <v/>
      </c>
      <c r="BN44" s="567">
        <f>IF(AND(Projects!$C$38&lt;=BN$4,BN$4&lt;=Projects!$C$38+Projects!$D$38-1),Projects!$B$38/Projects!$D$38,"")</f>
        <v/>
      </c>
      <c r="BO44" s="567">
        <f>IF(AND(Projects!$C$38&lt;=BO$4,BO$4&lt;=Projects!$C$38+Projects!$D$38-1),Projects!$B$38/Projects!$D$38,"")</f>
        <v/>
      </c>
      <c r="BP44" s="567">
        <f>IF(AND(Projects!$C$38&lt;=BP$4,BP$4&lt;=Projects!$C$38+Projects!$D$38-1),Projects!$B$38/Projects!$D$38,"")</f>
        <v/>
      </c>
      <c r="BQ44" s="567">
        <f>IF(AND(Projects!$C$38&lt;=BQ$4,BQ$4&lt;=Projects!$C$38+Projects!$D$38-1),Projects!$B$38/Projects!$D$38,"")</f>
        <v/>
      </c>
      <c r="BR44" s="567">
        <f>IF(AND(Projects!$C$38&lt;=BR$4,BR$4&lt;=Projects!$C$38+Projects!$D$38-1),Projects!$B$38/Projects!$D$38,"")</f>
        <v/>
      </c>
      <c r="BS44" s="567">
        <f>IF(AND(Projects!$C$38&lt;=BS$4,BS$4&lt;=Projects!$C$38+Projects!$D$38-1),Projects!$B$38/Projects!$D$38,"")</f>
        <v/>
      </c>
      <c r="BT44" s="567">
        <f>IF(AND(Projects!$C$38&lt;=BT$4,BT$4&lt;=Projects!$C$38+Projects!$D$38-1),Projects!$B$38/Projects!$D$38,"")</f>
        <v/>
      </c>
      <c r="BU44" s="567">
        <f>IF(AND(Projects!$C$38&lt;=BU$4,BU$4&lt;=Projects!$C$38+Projects!$D$38-1),Projects!$B$38/Projects!$D$38,"")</f>
        <v/>
      </c>
      <c r="BV44" s="567">
        <f>IF(AND(Projects!$C$38&lt;=BV$4,BV$4&lt;=Projects!$C$38+Projects!$D$38-1),Projects!$B$38/Projects!$D$38,"")</f>
        <v/>
      </c>
      <c r="BW44" s="567">
        <f>IF(AND(Projects!$C$38&lt;=BW$4,BW$4&lt;=Projects!$C$38+Projects!$D$38-1),Projects!$B$38/Projects!$D$38,"")</f>
        <v/>
      </c>
      <c r="BX44" s="567">
        <f>IF(AND(Projects!$C$38&lt;=BX$4,BX$4&lt;=Projects!$C$38+Projects!$D$38-1),Projects!$B$38/Projects!$D$38,"")</f>
        <v/>
      </c>
      <c r="BY44" s="567">
        <f>IF(AND(Projects!$C$38&lt;=BY$4,BY$4&lt;=Projects!$C$38+Projects!$D$38-1),Projects!$B$38/Projects!$D$38,"")</f>
        <v/>
      </c>
      <c r="BZ44" s="567">
        <f>IF(AND(Projects!$C$38&lt;=BZ$4,BZ$4&lt;=Projects!$C$38+Projects!$D$38-1),Projects!$B$38/Projects!$D$38,"")</f>
        <v/>
      </c>
      <c r="CA44" s="567">
        <f>IF(AND(Projects!$C$38&lt;=CA$4,CA$4&lt;=Projects!$C$38+Projects!$D$38-1),Projects!$B$38/Projects!$D$38,"")</f>
        <v/>
      </c>
      <c r="CB44" s="567">
        <f>IF(AND(Projects!$C$38&lt;=CB$4,CB$4&lt;=Projects!$C$38+Projects!$D$38-1),Projects!$B$38/Projects!$D$38,"")</f>
        <v/>
      </c>
      <c r="CC44" s="567">
        <f>IF(AND(Projects!$C$38&lt;=CC$4,CC$4&lt;=Projects!$C$38+Projects!$D$38-1),Projects!$B$38/Projects!$D$38,"")</f>
        <v/>
      </c>
      <c r="CD44" s="567">
        <f>IF(AND(Projects!$C$38&lt;=CD$4,CD$4&lt;=Projects!$C$38+Projects!$D$38-1),Projects!$B$38/Projects!$D$38,"")</f>
        <v/>
      </c>
      <c r="CE44" s="567">
        <f>IF(AND(Projects!$C$38&lt;=CE$4,CE$4&lt;=Projects!$C$38+Projects!$D$38-1),Projects!$B$38/Projects!$D$38,"")</f>
        <v/>
      </c>
      <c r="CF44" s="567">
        <f>IF(AND(Projects!$C$38&lt;=CF$4,CF$4&lt;=Projects!$C$38+Projects!$D$38-1),Projects!$B$38/Projects!$D$38,"")</f>
        <v/>
      </c>
      <c r="CG44" s="567">
        <f>IF(AND(Projects!$C$38&lt;=CG$4,CG$4&lt;=Projects!$C$38+Projects!$D$38-1),Projects!$B$38/Projects!$D$38,"")</f>
        <v/>
      </c>
      <c r="CH44" s="567">
        <f>IF(AND(Projects!$C$38&lt;=CH$4,CH$4&lt;=Projects!$C$38+Projects!$D$38-1),Projects!$B$38/Projects!$D$38,"")</f>
        <v/>
      </c>
      <c r="CI44" s="567">
        <f>IF(AND(Projects!$C$38&lt;=CI$4,CI$4&lt;=Projects!$C$38+Projects!$D$38-1),Projects!$B$38/Projects!$D$38,"")</f>
        <v/>
      </c>
      <c r="CJ44" s="567">
        <f>IF(AND(Projects!$C$38&lt;=CJ$4,CJ$4&lt;=Projects!$C$38+Projects!$D$38-1),Projects!$B$38/Projects!$D$38,"")</f>
        <v/>
      </c>
      <c r="CK44" s="567">
        <f>IF(AND(Projects!$C$38&lt;=CK$4,CK$4&lt;=Projects!$C$38+Projects!$D$38-1),Projects!$B$38/Projects!$D$38,"")</f>
        <v/>
      </c>
      <c r="CL44" s="567">
        <f>IF(AND(Projects!$C$38&lt;=CL$4,CL$4&lt;=Projects!$C$38+Projects!$D$38-1),Projects!$B$38/Projects!$D$38,"")</f>
        <v/>
      </c>
      <c r="CM44" s="567">
        <f>IF(AND(Projects!$C$38&lt;=CM$4,CM$4&lt;=Projects!$C$38+Projects!$D$38-1),Projects!$B$38/Projects!$D$38,"")</f>
        <v/>
      </c>
      <c r="CN44" s="567">
        <f>IF(AND(Projects!$C$38&lt;=CN$4,CN$4&lt;=Projects!$C$38+Projects!$D$38-1),Projects!$B$38/Projects!$D$38,"")</f>
        <v/>
      </c>
      <c r="CO44" s="567">
        <f>IF(AND(Projects!$C$38&lt;=CO$4,CO$4&lt;=Projects!$C$38+Projects!$D$38-1),Projects!$B$38/Projects!$D$38,"")</f>
        <v/>
      </c>
      <c r="CP44" s="567">
        <f>IF(AND(Projects!$C$38&lt;=CP$4,CP$4&lt;=Projects!$C$38+Projects!$D$38-1),Projects!$B$38/Projects!$D$38,"")</f>
        <v/>
      </c>
      <c r="CQ44" s="567">
        <f>IF(AND(Projects!$C$38&lt;=CQ$4,CQ$4&lt;=Projects!$C$38+Projects!$D$38-1),Projects!$B$38/Projects!$D$38,"")</f>
        <v/>
      </c>
      <c r="CR44" s="567">
        <f>IF(AND(Projects!$C$38&lt;=CR$4,CR$4&lt;=Projects!$C$38+Projects!$D$38-1),Projects!$B$38/Projects!$D$38,"")</f>
        <v/>
      </c>
      <c r="CS44" s="567">
        <f>IF(AND(Projects!$C$38&lt;=CS$4,CS$4&lt;=Projects!$C$38+Projects!$D$38-1),Projects!$B$38/Projects!$D$38,"")</f>
        <v/>
      </c>
      <c r="CT44" s="567">
        <f>IF(AND(Projects!$C$38&lt;=CT$4,CT$4&lt;=Projects!$C$38+Projects!$D$38-1),Projects!$B$38/Projects!$D$38,"")</f>
        <v/>
      </c>
      <c r="CU44" s="567">
        <f>IF(AND(Projects!$C$38&lt;=CU$4,CU$4&lt;=Projects!$C$38+Projects!$D$38-1),Projects!$B$38/Projects!$D$38,"")</f>
        <v/>
      </c>
      <c r="CV44" s="567">
        <f>IF(AND(Projects!$C$38&lt;=CV$4,CV$4&lt;=Projects!$C$38+Projects!$D$38-1),Projects!$B$38/Projects!$D$38,"")</f>
        <v/>
      </c>
      <c r="CW44" s="567">
        <f>IF(AND(Projects!$C$38&lt;=CW$4,CW$4&lt;=Projects!$C$38+Projects!$D$38-1),Projects!$B$38/Projects!$D$38,"")</f>
        <v/>
      </c>
      <c r="CX44" s="567">
        <f>IF(AND(Projects!$C$38&lt;=CX$4,CX$4&lt;=Projects!$C$38+Projects!$D$38-1),Projects!$B$38/Projects!$D$38,"")</f>
        <v/>
      </c>
      <c r="CY44" s="567">
        <f>IF(AND(Projects!$C$38&lt;=CY$4,CY$4&lt;=Projects!$C$38+Projects!$D$38-1),Projects!$B$38/Projects!$D$38,"")</f>
        <v/>
      </c>
      <c r="CZ44" s="567">
        <f>IF(AND(Projects!$C$38&lt;=CZ$4,CZ$4&lt;=Projects!$C$38+Projects!$D$38-1),Projects!$B$38/Projects!$D$38,"")</f>
        <v/>
      </c>
      <c r="DA44" s="567">
        <f>IF(AND(Projects!$C$38&lt;=DA$4,DA$4&lt;=Projects!$C$38+Projects!$D$38-1),Projects!$B$38/Projects!$D$38,"")</f>
        <v/>
      </c>
      <c r="DB44" s="567">
        <f>IF(AND(Projects!$C$38&lt;=DB$4,DB$4&lt;=Projects!$C$38+Projects!$D$38-1),Projects!$B$38/Projects!$D$38,"")</f>
        <v/>
      </c>
    </row>
    <row r="45" ht="15" customFormat="1" customHeight="1" s="380">
      <c r="A45" s="563" t="inlineStr">
        <is>
          <t>BD-23</t>
        </is>
      </c>
      <c r="B45" s="564">
        <f>Projects!$B$39</f>
        <v/>
      </c>
      <c r="C45" s="565">
        <f>EDATE(Model!$E$2,Projects!$C$39-1)</f>
        <v/>
      </c>
      <c r="D45" s="565">
        <f>EDATE(Model!$E$2,Projects!$C$39+Projects!$D$39-2)</f>
        <v/>
      </c>
      <c r="E45" s="566">
        <f>Projects!$D$39</f>
        <v/>
      </c>
      <c r="F45" s="564">
        <f>Projects!$B$39/Projects!$D$39</f>
        <v/>
      </c>
      <c r="G45" s="567">
        <f>IF(AND(Projects!$C$39&lt;=G$4,G$4&lt;=Projects!$C$39+Projects!$D$39-1),Projects!$B$39/Projects!$D$39,"")</f>
        <v/>
      </c>
      <c r="H45" s="567">
        <f>IF(AND(Projects!$C$39&lt;=H$4,H$4&lt;=Projects!$C$39+Projects!$D$39-1),Projects!$B$39/Projects!$D$39,"")</f>
        <v/>
      </c>
      <c r="I45" s="567">
        <f>IF(AND(Projects!$C$39&lt;=I$4,I$4&lt;=Projects!$C$39+Projects!$D$39-1),Projects!$B$39/Projects!$D$39,"")</f>
        <v/>
      </c>
      <c r="J45" s="567">
        <f>IF(AND(Projects!$C$39&lt;=J$4,J$4&lt;=Projects!$C$39+Projects!$D$39-1),Projects!$B$39/Projects!$D$39,"")</f>
        <v/>
      </c>
      <c r="K45" s="567">
        <f>IF(AND(Projects!$C$39&lt;=K$4,K$4&lt;=Projects!$C$39+Projects!$D$39-1),Projects!$B$39/Projects!$D$39,"")</f>
        <v/>
      </c>
      <c r="L45" s="567">
        <f>IF(AND(Projects!$C$39&lt;=L$4,L$4&lt;=Projects!$C$39+Projects!$D$39-1),Projects!$B$39/Projects!$D$39,"")</f>
        <v/>
      </c>
      <c r="M45" s="567">
        <f>IF(AND(Projects!$C$39&lt;=M$4,M$4&lt;=Projects!$C$39+Projects!$D$39-1),Projects!$B$39/Projects!$D$39,"")</f>
        <v/>
      </c>
      <c r="N45" s="567">
        <f>IF(AND(Projects!$C$39&lt;=N$4,N$4&lt;=Projects!$C$39+Projects!$D$39-1),Projects!$B$39/Projects!$D$39,"")</f>
        <v/>
      </c>
      <c r="O45" s="567">
        <f>IF(AND(Projects!$C$39&lt;=O$4,O$4&lt;=Projects!$C$39+Projects!$D$39-1),Projects!$B$39/Projects!$D$39,"")</f>
        <v/>
      </c>
      <c r="P45" s="567">
        <f>IF(AND(Projects!$C$39&lt;=P$4,P$4&lt;=Projects!$C$39+Projects!$D$39-1),Projects!$B$39/Projects!$D$39,"")</f>
        <v/>
      </c>
      <c r="Q45" s="567">
        <f>IF(AND(Projects!$C$39&lt;=Q$4,Q$4&lt;=Projects!$C$39+Projects!$D$39-1),Projects!$B$39/Projects!$D$39,"")</f>
        <v/>
      </c>
      <c r="R45" s="567">
        <f>IF(AND(Projects!$C$39&lt;=R$4,R$4&lt;=Projects!$C$39+Projects!$D$39-1),Projects!$B$39/Projects!$D$39,"")</f>
        <v/>
      </c>
      <c r="S45" s="567">
        <f>IF(AND(Projects!$C$39&lt;=S$4,S$4&lt;=Projects!$C$39+Projects!$D$39-1),Projects!$B$39/Projects!$D$39,"")</f>
        <v/>
      </c>
      <c r="T45" s="567">
        <f>IF(AND(Projects!$C$39&lt;=T$4,T$4&lt;=Projects!$C$39+Projects!$D$39-1),Projects!$B$39/Projects!$D$39,"")</f>
        <v/>
      </c>
      <c r="U45" s="567">
        <f>IF(AND(Projects!$C$39&lt;=U$4,U$4&lt;=Projects!$C$39+Projects!$D$39-1),Projects!$B$39/Projects!$D$39,"")</f>
        <v/>
      </c>
      <c r="V45" s="567">
        <f>IF(AND(Projects!$C$39&lt;=V$4,V$4&lt;=Projects!$C$39+Projects!$D$39-1),Projects!$B$39/Projects!$D$39,"")</f>
        <v/>
      </c>
      <c r="W45" s="567">
        <f>IF(AND(Projects!$C$39&lt;=W$4,W$4&lt;=Projects!$C$39+Projects!$D$39-1),Projects!$B$39/Projects!$D$39,"")</f>
        <v/>
      </c>
      <c r="X45" s="567">
        <f>IF(AND(Projects!$C$39&lt;=X$4,X$4&lt;=Projects!$C$39+Projects!$D$39-1),Projects!$B$39/Projects!$D$39,"")</f>
        <v/>
      </c>
      <c r="Y45" s="567">
        <f>IF(AND(Projects!$C$39&lt;=Y$4,Y$4&lt;=Projects!$C$39+Projects!$D$39-1),Projects!$B$39/Projects!$D$39,"")</f>
        <v/>
      </c>
      <c r="Z45" s="567">
        <f>IF(AND(Projects!$C$39&lt;=Z$4,Z$4&lt;=Projects!$C$39+Projects!$D$39-1),Projects!$B$39/Projects!$D$39,"")</f>
        <v/>
      </c>
      <c r="AA45" s="567">
        <f>IF(AND(Projects!$C$39&lt;=AA$4,AA$4&lt;=Projects!$C$39+Projects!$D$39-1),Projects!$B$39/Projects!$D$39,"")</f>
        <v/>
      </c>
      <c r="AB45" s="567">
        <f>IF(AND(Projects!$C$39&lt;=AB$4,AB$4&lt;=Projects!$C$39+Projects!$D$39-1),Projects!$B$39/Projects!$D$39,"")</f>
        <v/>
      </c>
      <c r="AC45" s="567">
        <f>IF(AND(Projects!$C$39&lt;=AC$4,AC$4&lt;=Projects!$C$39+Projects!$D$39-1),Projects!$B$39/Projects!$D$39,"")</f>
        <v/>
      </c>
      <c r="AD45" s="567">
        <f>IF(AND(Projects!$C$39&lt;=AD$4,AD$4&lt;=Projects!$C$39+Projects!$D$39-1),Projects!$B$39/Projects!$D$39,"")</f>
        <v/>
      </c>
      <c r="AE45" s="567">
        <f>IF(AND(Projects!$C$39&lt;=AE$4,AE$4&lt;=Projects!$C$39+Projects!$D$39-1),Projects!$B$39/Projects!$D$39,"")</f>
        <v/>
      </c>
      <c r="AF45" s="567">
        <f>IF(AND(Projects!$C$39&lt;=AF$4,AF$4&lt;=Projects!$C$39+Projects!$D$39-1),Projects!$B$39/Projects!$D$39,"")</f>
        <v/>
      </c>
      <c r="AG45" s="567">
        <f>IF(AND(Projects!$C$39&lt;=AG$4,AG$4&lt;=Projects!$C$39+Projects!$D$39-1),Projects!$B$39/Projects!$D$39,"")</f>
        <v/>
      </c>
      <c r="AH45" s="567">
        <f>IF(AND(Projects!$C$39&lt;=AH$4,AH$4&lt;=Projects!$C$39+Projects!$D$39-1),Projects!$B$39/Projects!$D$39,"")</f>
        <v/>
      </c>
      <c r="AI45" s="567">
        <f>IF(AND(Projects!$C$39&lt;=AI$4,AI$4&lt;=Projects!$C$39+Projects!$D$39-1),Projects!$B$39/Projects!$D$39,"")</f>
        <v/>
      </c>
      <c r="AJ45" s="567">
        <f>IF(AND(Projects!$C$39&lt;=AJ$4,AJ$4&lt;=Projects!$C$39+Projects!$D$39-1),Projects!$B$39/Projects!$D$39,"")</f>
        <v/>
      </c>
      <c r="AK45" s="567">
        <f>IF(AND(Projects!$C$39&lt;=AK$4,AK$4&lt;=Projects!$C$39+Projects!$D$39-1),Projects!$B$39/Projects!$D$39,"")</f>
        <v/>
      </c>
      <c r="AL45" s="567">
        <f>IF(AND(Projects!$C$39&lt;=AL$4,AL$4&lt;=Projects!$C$39+Projects!$D$39-1),Projects!$B$39/Projects!$D$39,"")</f>
        <v/>
      </c>
      <c r="AM45" s="567">
        <f>IF(AND(Projects!$C$39&lt;=AM$4,AM$4&lt;=Projects!$C$39+Projects!$D$39-1),Projects!$B$39/Projects!$D$39,"")</f>
        <v/>
      </c>
      <c r="AN45" s="567">
        <f>IF(AND(Projects!$C$39&lt;=AN$4,AN$4&lt;=Projects!$C$39+Projects!$D$39-1),Projects!$B$39/Projects!$D$39,"")</f>
        <v/>
      </c>
      <c r="AO45" s="567">
        <f>IF(AND(Projects!$C$39&lt;=AO$4,AO$4&lt;=Projects!$C$39+Projects!$D$39-1),Projects!$B$39/Projects!$D$39,"")</f>
        <v/>
      </c>
      <c r="AP45" s="567">
        <f>IF(AND(Projects!$C$39&lt;=AP$4,AP$4&lt;=Projects!$C$39+Projects!$D$39-1),Projects!$B$39/Projects!$D$39,"")</f>
        <v/>
      </c>
      <c r="AQ45" s="567">
        <f>IF(AND(Projects!$C$39&lt;=AQ$4,AQ$4&lt;=Projects!$C$39+Projects!$D$39-1),Projects!$B$39/Projects!$D$39,"")</f>
        <v/>
      </c>
      <c r="AR45" s="567">
        <f>IF(AND(Projects!$C$39&lt;=AR$4,AR$4&lt;=Projects!$C$39+Projects!$D$39-1),Projects!$B$39/Projects!$D$39,"")</f>
        <v/>
      </c>
      <c r="AS45" s="567">
        <f>IF(AND(Projects!$C$39&lt;=AS$4,AS$4&lt;=Projects!$C$39+Projects!$D$39-1),Projects!$B$39/Projects!$D$39,"")</f>
        <v/>
      </c>
      <c r="AT45" s="567">
        <f>IF(AND(Projects!$C$39&lt;=AT$4,AT$4&lt;=Projects!$C$39+Projects!$D$39-1),Projects!$B$39/Projects!$D$39,"")</f>
        <v/>
      </c>
      <c r="AU45" s="567">
        <f>IF(AND(Projects!$C$39&lt;=AU$4,AU$4&lt;=Projects!$C$39+Projects!$D$39-1),Projects!$B$39/Projects!$D$39,"")</f>
        <v/>
      </c>
      <c r="AV45" s="567">
        <f>IF(AND(Projects!$C$39&lt;=AV$4,AV$4&lt;=Projects!$C$39+Projects!$D$39-1),Projects!$B$39/Projects!$D$39,"")</f>
        <v/>
      </c>
      <c r="AW45" s="567">
        <f>IF(AND(Projects!$C$39&lt;=AW$4,AW$4&lt;=Projects!$C$39+Projects!$D$39-1),Projects!$B$39/Projects!$D$39,"")</f>
        <v/>
      </c>
      <c r="AX45" s="567">
        <f>IF(AND(Projects!$C$39&lt;=AX$4,AX$4&lt;=Projects!$C$39+Projects!$D$39-1),Projects!$B$39/Projects!$D$39,"")</f>
        <v/>
      </c>
      <c r="AY45" s="567">
        <f>IF(AND(Projects!$C$39&lt;=AY$4,AY$4&lt;=Projects!$C$39+Projects!$D$39-1),Projects!$B$39/Projects!$D$39,"")</f>
        <v/>
      </c>
      <c r="AZ45" s="567">
        <f>IF(AND(Projects!$C$39&lt;=AZ$4,AZ$4&lt;=Projects!$C$39+Projects!$D$39-1),Projects!$B$39/Projects!$D$39,"")</f>
        <v/>
      </c>
      <c r="BA45" s="567">
        <f>IF(AND(Projects!$C$39&lt;=BA$4,BA$4&lt;=Projects!$C$39+Projects!$D$39-1),Projects!$B$39/Projects!$D$39,"")</f>
        <v/>
      </c>
      <c r="BB45" s="567">
        <f>IF(AND(Projects!$C$39&lt;=BB$4,BB$4&lt;=Projects!$C$39+Projects!$D$39-1),Projects!$B$39/Projects!$D$39,"")</f>
        <v/>
      </c>
      <c r="BC45" s="567">
        <f>IF(AND(Projects!$C$39&lt;=BC$4,BC$4&lt;=Projects!$C$39+Projects!$D$39-1),Projects!$B$39/Projects!$D$39,"")</f>
        <v/>
      </c>
      <c r="BD45" s="567">
        <f>IF(AND(Projects!$C$39&lt;=BD$4,BD$4&lt;=Projects!$C$39+Projects!$D$39-1),Projects!$B$39/Projects!$D$39,"")</f>
        <v/>
      </c>
      <c r="BE45" s="567">
        <f>IF(AND(Projects!$C$39&lt;=BE$4,BE$4&lt;=Projects!$C$39+Projects!$D$39-1),Projects!$B$39/Projects!$D$39,"")</f>
        <v/>
      </c>
      <c r="BF45" s="567">
        <f>IF(AND(Projects!$C$39&lt;=BF$4,BF$4&lt;=Projects!$C$39+Projects!$D$39-1),Projects!$B$39/Projects!$D$39,"")</f>
        <v/>
      </c>
      <c r="BG45" s="567">
        <f>IF(AND(Projects!$C$39&lt;=BG$4,BG$4&lt;=Projects!$C$39+Projects!$D$39-1),Projects!$B$39/Projects!$D$39,"")</f>
        <v/>
      </c>
      <c r="BH45" s="567">
        <f>IF(AND(Projects!$C$39&lt;=BH$4,BH$4&lt;=Projects!$C$39+Projects!$D$39-1),Projects!$B$39/Projects!$D$39,"")</f>
        <v/>
      </c>
      <c r="BI45" s="567">
        <f>IF(AND(Projects!$C$39&lt;=BI$4,BI$4&lt;=Projects!$C$39+Projects!$D$39-1),Projects!$B$39/Projects!$D$39,"")</f>
        <v/>
      </c>
      <c r="BJ45" s="567">
        <f>IF(AND(Projects!$C$39&lt;=BJ$4,BJ$4&lt;=Projects!$C$39+Projects!$D$39-1),Projects!$B$39/Projects!$D$39,"")</f>
        <v/>
      </c>
      <c r="BK45" s="567">
        <f>IF(AND(Projects!$C$39&lt;=BK$4,BK$4&lt;=Projects!$C$39+Projects!$D$39-1),Projects!$B$39/Projects!$D$39,"")</f>
        <v/>
      </c>
      <c r="BL45" s="567">
        <f>IF(AND(Projects!$C$39&lt;=BL$4,BL$4&lt;=Projects!$C$39+Projects!$D$39-1),Projects!$B$39/Projects!$D$39,"")</f>
        <v/>
      </c>
      <c r="BM45" s="567">
        <f>IF(AND(Projects!$C$39&lt;=BM$4,BM$4&lt;=Projects!$C$39+Projects!$D$39-1),Projects!$B$39/Projects!$D$39,"")</f>
        <v/>
      </c>
      <c r="BN45" s="567">
        <f>IF(AND(Projects!$C$39&lt;=BN$4,BN$4&lt;=Projects!$C$39+Projects!$D$39-1),Projects!$B$39/Projects!$D$39,"")</f>
        <v/>
      </c>
      <c r="BO45" s="567">
        <f>IF(AND(Projects!$C$39&lt;=BO$4,BO$4&lt;=Projects!$C$39+Projects!$D$39-1),Projects!$B$39/Projects!$D$39,"")</f>
        <v/>
      </c>
      <c r="BP45" s="567">
        <f>IF(AND(Projects!$C$39&lt;=BP$4,BP$4&lt;=Projects!$C$39+Projects!$D$39-1),Projects!$B$39/Projects!$D$39,"")</f>
        <v/>
      </c>
      <c r="BQ45" s="567">
        <f>IF(AND(Projects!$C$39&lt;=BQ$4,BQ$4&lt;=Projects!$C$39+Projects!$D$39-1),Projects!$B$39/Projects!$D$39,"")</f>
        <v/>
      </c>
      <c r="BR45" s="567">
        <f>IF(AND(Projects!$C$39&lt;=BR$4,BR$4&lt;=Projects!$C$39+Projects!$D$39-1),Projects!$B$39/Projects!$D$39,"")</f>
        <v/>
      </c>
      <c r="BS45" s="567">
        <f>IF(AND(Projects!$C$39&lt;=BS$4,BS$4&lt;=Projects!$C$39+Projects!$D$39-1),Projects!$B$39/Projects!$D$39,"")</f>
        <v/>
      </c>
      <c r="BT45" s="567">
        <f>IF(AND(Projects!$C$39&lt;=BT$4,BT$4&lt;=Projects!$C$39+Projects!$D$39-1),Projects!$B$39/Projects!$D$39,"")</f>
        <v/>
      </c>
      <c r="BU45" s="567">
        <f>IF(AND(Projects!$C$39&lt;=BU$4,BU$4&lt;=Projects!$C$39+Projects!$D$39-1),Projects!$B$39/Projects!$D$39,"")</f>
        <v/>
      </c>
      <c r="BV45" s="567">
        <f>IF(AND(Projects!$C$39&lt;=BV$4,BV$4&lt;=Projects!$C$39+Projects!$D$39-1),Projects!$B$39/Projects!$D$39,"")</f>
        <v/>
      </c>
      <c r="BW45" s="567">
        <f>IF(AND(Projects!$C$39&lt;=BW$4,BW$4&lt;=Projects!$C$39+Projects!$D$39-1),Projects!$B$39/Projects!$D$39,"")</f>
        <v/>
      </c>
      <c r="BX45" s="567">
        <f>IF(AND(Projects!$C$39&lt;=BX$4,BX$4&lt;=Projects!$C$39+Projects!$D$39-1),Projects!$B$39/Projects!$D$39,"")</f>
        <v/>
      </c>
      <c r="BY45" s="567">
        <f>IF(AND(Projects!$C$39&lt;=BY$4,BY$4&lt;=Projects!$C$39+Projects!$D$39-1),Projects!$B$39/Projects!$D$39,"")</f>
        <v/>
      </c>
      <c r="BZ45" s="567">
        <f>IF(AND(Projects!$C$39&lt;=BZ$4,BZ$4&lt;=Projects!$C$39+Projects!$D$39-1),Projects!$B$39/Projects!$D$39,"")</f>
        <v/>
      </c>
      <c r="CA45" s="567">
        <f>IF(AND(Projects!$C$39&lt;=CA$4,CA$4&lt;=Projects!$C$39+Projects!$D$39-1),Projects!$B$39/Projects!$D$39,"")</f>
        <v/>
      </c>
      <c r="CB45" s="567">
        <f>IF(AND(Projects!$C$39&lt;=CB$4,CB$4&lt;=Projects!$C$39+Projects!$D$39-1),Projects!$B$39/Projects!$D$39,"")</f>
        <v/>
      </c>
      <c r="CC45" s="567">
        <f>IF(AND(Projects!$C$39&lt;=CC$4,CC$4&lt;=Projects!$C$39+Projects!$D$39-1),Projects!$B$39/Projects!$D$39,"")</f>
        <v/>
      </c>
      <c r="CD45" s="567">
        <f>IF(AND(Projects!$C$39&lt;=CD$4,CD$4&lt;=Projects!$C$39+Projects!$D$39-1),Projects!$B$39/Projects!$D$39,"")</f>
        <v/>
      </c>
      <c r="CE45" s="567">
        <f>IF(AND(Projects!$C$39&lt;=CE$4,CE$4&lt;=Projects!$C$39+Projects!$D$39-1),Projects!$B$39/Projects!$D$39,"")</f>
        <v/>
      </c>
      <c r="CF45" s="567">
        <f>IF(AND(Projects!$C$39&lt;=CF$4,CF$4&lt;=Projects!$C$39+Projects!$D$39-1),Projects!$B$39/Projects!$D$39,"")</f>
        <v/>
      </c>
      <c r="CG45" s="567">
        <f>IF(AND(Projects!$C$39&lt;=CG$4,CG$4&lt;=Projects!$C$39+Projects!$D$39-1),Projects!$B$39/Projects!$D$39,"")</f>
        <v/>
      </c>
      <c r="CH45" s="567">
        <f>IF(AND(Projects!$C$39&lt;=CH$4,CH$4&lt;=Projects!$C$39+Projects!$D$39-1),Projects!$B$39/Projects!$D$39,"")</f>
        <v/>
      </c>
      <c r="CI45" s="567">
        <f>IF(AND(Projects!$C$39&lt;=CI$4,CI$4&lt;=Projects!$C$39+Projects!$D$39-1),Projects!$B$39/Projects!$D$39,"")</f>
        <v/>
      </c>
      <c r="CJ45" s="567">
        <f>IF(AND(Projects!$C$39&lt;=CJ$4,CJ$4&lt;=Projects!$C$39+Projects!$D$39-1),Projects!$B$39/Projects!$D$39,"")</f>
        <v/>
      </c>
      <c r="CK45" s="567">
        <f>IF(AND(Projects!$C$39&lt;=CK$4,CK$4&lt;=Projects!$C$39+Projects!$D$39-1),Projects!$B$39/Projects!$D$39,"")</f>
        <v/>
      </c>
      <c r="CL45" s="567">
        <f>IF(AND(Projects!$C$39&lt;=CL$4,CL$4&lt;=Projects!$C$39+Projects!$D$39-1),Projects!$B$39/Projects!$D$39,"")</f>
        <v/>
      </c>
      <c r="CM45" s="567">
        <f>IF(AND(Projects!$C$39&lt;=CM$4,CM$4&lt;=Projects!$C$39+Projects!$D$39-1),Projects!$B$39/Projects!$D$39,"")</f>
        <v/>
      </c>
      <c r="CN45" s="567">
        <f>IF(AND(Projects!$C$39&lt;=CN$4,CN$4&lt;=Projects!$C$39+Projects!$D$39-1),Projects!$B$39/Projects!$D$39,"")</f>
        <v/>
      </c>
      <c r="CO45" s="567">
        <f>IF(AND(Projects!$C$39&lt;=CO$4,CO$4&lt;=Projects!$C$39+Projects!$D$39-1),Projects!$B$39/Projects!$D$39,"")</f>
        <v/>
      </c>
      <c r="CP45" s="567">
        <f>IF(AND(Projects!$C$39&lt;=CP$4,CP$4&lt;=Projects!$C$39+Projects!$D$39-1),Projects!$B$39/Projects!$D$39,"")</f>
        <v/>
      </c>
      <c r="CQ45" s="567">
        <f>IF(AND(Projects!$C$39&lt;=CQ$4,CQ$4&lt;=Projects!$C$39+Projects!$D$39-1),Projects!$B$39/Projects!$D$39,"")</f>
        <v/>
      </c>
      <c r="CR45" s="567">
        <f>IF(AND(Projects!$C$39&lt;=CR$4,CR$4&lt;=Projects!$C$39+Projects!$D$39-1),Projects!$B$39/Projects!$D$39,"")</f>
        <v/>
      </c>
      <c r="CS45" s="567">
        <f>IF(AND(Projects!$C$39&lt;=CS$4,CS$4&lt;=Projects!$C$39+Projects!$D$39-1),Projects!$B$39/Projects!$D$39,"")</f>
        <v/>
      </c>
      <c r="CT45" s="567">
        <f>IF(AND(Projects!$C$39&lt;=CT$4,CT$4&lt;=Projects!$C$39+Projects!$D$39-1),Projects!$B$39/Projects!$D$39,"")</f>
        <v/>
      </c>
      <c r="CU45" s="567">
        <f>IF(AND(Projects!$C$39&lt;=CU$4,CU$4&lt;=Projects!$C$39+Projects!$D$39-1),Projects!$B$39/Projects!$D$39,"")</f>
        <v/>
      </c>
      <c r="CV45" s="567">
        <f>IF(AND(Projects!$C$39&lt;=CV$4,CV$4&lt;=Projects!$C$39+Projects!$D$39-1),Projects!$B$39/Projects!$D$39,"")</f>
        <v/>
      </c>
      <c r="CW45" s="567">
        <f>IF(AND(Projects!$C$39&lt;=CW$4,CW$4&lt;=Projects!$C$39+Projects!$D$39-1),Projects!$B$39/Projects!$D$39,"")</f>
        <v/>
      </c>
      <c r="CX45" s="567">
        <f>IF(AND(Projects!$C$39&lt;=CX$4,CX$4&lt;=Projects!$C$39+Projects!$D$39-1),Projects!$B$39/Projects!$D$39,"")</f>
        <v/>
      </c>
      <c r="CY45" s="567">
        <f>IF(AND(Projects!$C$39&lt;=CY$4,CY$4&lt;=Projects!$C$39+Projects!$D$39-1),Projects!$B$39/Projects!$D$39,"")</f>
        <v/>
      </c>
      <c r="CZ45" s="567">
        <f>IF(AND(Projects!$C$39&lt;=CZ$4,CZ$4&lt;=Projects!$C$39+Projects!$D$39-1),Projects!$B$39/Projects!$D$39,"")</f>
        <v/>
      </c>
      <c r="DA45" s="567">
        <f>IF(AND(Projects!$C$39&lt;=DA$4,DA$4&lt;=Projects!$C$39+Projects!$D$39-1),Projects!$B$39/Projects!$D$39,"")</f>
        <v/>
      </c>
      <c r="DB45" s="567">
        <f>IF(AND(Projects!$C$39&lt;=DB$4,DB$4&lt;=Projects!$C$39+Projects!$D$39-1),Projects!$B$39/Projects!$D$39,"")</f>
        <v/>
      </c>
    </row>
    <row r="46" ht="15" customFormat="1" customHeight="1" s="380">
      <c r="A46" s="563" t="inlineStr">
        <is>
          <t>BD-24</t>
        </is>
      </c>
      <c r="B46" s="564">
        <f>Projects!$B$40</f>
        <v/>
      </c>
      <c r="C46" s="565">
        <f>EDATE(Model!$E$2,Projects!$C$40-1)</f>
        <v/>
      </c>
      <c r="D46" s="565">
        <f>EDATE(Model!$E$2,Projects!$C$40+Projects!$D$40-2)</f>
        <v/>
      </c>
      <c r="E46" s="566">
        <f>Projects!$D$40</f>
        <v/>
      </c>
      <c r="F46" s="564">
        <f>Projects!$B$40/Projects!$D$40</f>
        <v/>
      </c>
      <c r="G46" s="567">
        <f>IF(AND(Projects!$C$40&lt;=G$4,G$4&lt;=Projects!$C$40+Projects!$D$40-1),Projects!$B$40/Projects!$D$40,"")</f>
        <v/>
      </c>
      <c r="H46" s="567">
        <f>IF(AND(Projects!$C$40&lt;=H$4,H$4&lt;=Projects!$C$40+Projects!$D$40-1),Projects!$B$40/Projects!$D$40,"")</f>
        <v/>
      </c>
      <c r="I46" s="567">
        <f>IF(AND(Projects!$C$40&lt;=I$4,I$4&lt;=Projects!$C$40+Projects!$D$40-1),Projects!$B$40/Projects!$D$40,"")</f>
        <v/>
      </c>
      <c r="J46" s="567">
        <f>IF(AND(Projects!$C$40&lt;=J$4,J$4&lt;=Projects!$C$40+Projects!$D$40-1),Projects!$B$40/Projects!$D$40,"")</f>
        <v/>
      </c>
      <c r="K46" s="567">
        <f>IF(AND(Projects!$C$40&lt;=K$4,K$4&lt;=Projects!$C$40+Projects!$D$40-1),Projects!$B$40/Projects!$D$40,"")</f>
        <v/>
      </c>
      <c r="L46" s="567">
        <f>IF(AND(Projects!$C$40&lt;=L$4,L$4&lt;=Projects!$C$40+Projects!$D$40-1),Projects!$B$40/Projects!$D$40,"")</f>
        <v/>
      </c>
      <c r="M46" s="567">
        <f>IF(AND(Projects!$C$40&lt;=M$4,M$4&lt;=Projects!$C$40+Projects!$D$40-1),Projects!$B$40/Projects!$D$40,"")</f>
        <v/>
      </c>
      <c r="N46" s="567">
        <f>IF(AND(Projects!$C$40&lt;=N$4,N$4&lt;=Projects!$C$40+Projects!$D$40-1),Projects!$B$40/Projects!$D$40,"")</f>
        <v/>
      </c>
      <c r="O46" s="567">
        <f>IF(AND(Projects!$C$40&lt;=O$4,O$4&lt;=Projects!$C$40+Projects!$D$40-1),Projects!$B$40/Projects!$D$40,"")</f>
        <v/>
      </c>
      <c r="P46" s="567">
        <f>IF(AND(Projects!$C$40&lt;=P$4,P$4&lt;=Projects!$C$40+Projects!$D$40-1),Projects!$B$40/Projects!$D$40,"")</f>
        <v/>
      </c>
      <c r="Q46" s="567">
        <f>IF(AND(Projects!$C$40&lt;=Q$4,Q$4&lt;=Projects!$C$40+Projects!$D$40-1),Projects!$B$40/Projects!$D$40,"")</f>
        <v/>
      </c>
      <c r="R46" s="567">
        <f>IF(AND(Projects!$C$40&lt;=R$4,R$4&lt;=Projects!$C$40+Projects!$D$40-1),Projects!$B$40/Projects!$D$40,"")</f>
        <v/>
      </c>
      <c r="S46" s="567">
        <f>IF(AND(Projects!$C$40&lt;=S$4,S$4&lt;=Projects!$C$40+Projects!$D$40-1),Projects!$B$40/Projects!$D$40,"")</f>
        <v/>
      </c>
      <c r="T46" s="567">
        <f>IF(AND(Projects!$C$40&lt;=T$4,T$4&lt;=Projects!$C$40+Projects!$D$40-1),Projects!$B$40/Projects!$D$40,"")</f>
        <v/>
      </c>
      <c r="U46" s="567">
        <f>IF(AND(Projects!$C$40&lt;=U$4,U$4&lt;=Projects!$C$40+Projects!$D$40-1),Projects!$B$40/Projects!$D$40,"")</f>
        <v/>
      </c>
      <c r="V46" s="567">
        <f>IF(AND(Projects!$C$40&lt;=V$4,V$4&lt;=Projects!$C$40+Projects!$D$40-1),Projects!$B$40/Projects!$D$40,"")</f>
        <v/>
      </c>
      <c r="W46" s="567">
        <f>IF(AND(Projects!$C$40&lt;=W$4,W$4&lt;=Projects!$C$40+Projects!$D$40-1),Projects!$B$40/Projects!$D$40,"")</f>
        <v/>
      </c>
      <c r="X46" s="567">
        <f>IF(AND(Projects!$C$40&lt;=X$4,X$4&lt;=Projects!$C$40+Projects!$D$40-1),Projects!$B$40/Projects!$D$40,"")</f>
        <v/>
      </c>
      <c r="Y46" s="567">
        <f>IF(AND(Projects!$C$40&lt;=Y$4,Y$4&lt;=Projects!$C$40+Projects!$D$40-1),Projects!$B$40/Projects!$D$40,"")</f>
        <v/>
      </c>
      <c r="Z46" s="567">
        <f>IF(AND(Projects!$C$40&lt;=Z$4,Z$4&lt;=Projects!$C$40+Projects!$D$40-1),Projects!$B$40/Projects!$D$40,"")</f>
        <v/>
      </c>
      <c r="AA46" s="567">
        <f>IF(AND(Projects!$C$40&lt;=AA$4,AA$4&lt;=Projects!$C$40+Projects!$D$40-1),Projects!$B$40/Projects!$D$40,"")</f>
        <v/>
      </c>
      <c r="AB46" s="567">
        <f>IF(AND(Projects!$C$40&lt;=AB$4,AB$4&lt;=Projects!$C$40+Projects!$D$40-1),Projects!$B$40/Projects!$D$40,"")</f>
        <v/>
      </c>
      <c r="AC46" s="567">
        <f>IF(AND(Projects!$C$40&lt;=AC$4,AC$4&lt;=Projects!$C$40+Projects!$D$40-1),Projects!$B$40/Projects!$D$40,"")</f>
        <v/>
      </c>
      <c r="AD46" s="567">
        <f>IF(AND(Projects!$C$40&lt;=AD$4,AD$4&lt;=Projects!$C$40+Projects!$D$40-1),Projects!$B$40/Projects!$D$40,"")</f>
        <v/>
      </c>
      <c r="AE46" s="567">
        <f>IF(AND(Projects!$C$40&lt;=AE$4,AE$4&lt;=Projects!$C$40+Projects!$D$40-1),Projects!$B$40/Projects!$D$40,"")</f>
        <v/>
      </c>
      <c r="AF46" s="567">
        <f>IF(AND(Projects!$C$40&lt;=AF$4,AF$4&lt;=Projects!$C$40+Projects!$D$40-1),Projects!$B$40/Projects!$D$40,"")</f>
        <v/>
      </c>
      <c r="AG46" s="567">
        <f>IF(AND(Projects!$C$40&lt;=AG$4,AG$4&lt;=Projects!$C$40+Projects!$D$40-1),Projects!$B$40/Projects!$D$40,"")</f>
        <v/>
      </c>
      <c r="AH46" s="567">
        <f>IF(AND(Projects!$C$40&lt;=AH$4,AH$4&lt;=Projects!$C$40+Projects!$D$40-1),Projects!$B$40/Projects!$D$40,"")</f>
        <v/>
      </c>
      <c r="AI46" s="567">
        <f>IF(AND(Projects!$C$40&lt;=AI$4,AI$4&lt;=Projects!$C$40+Projects!$D$40-1),Projects!$B$40/Projects!$D$40,"")</f>
        <v/>
      </c>
      <c r="AJ46" s="567">
        <f>IF(AND(Projects!$C$40&lt;=AJ$4,AJ$4&lt;=Projects!$C$40+Projects!$D$40-1),Projects!$B$40/Projects!$D$40,"")</f>
        <v/>
      </c>
      <c r="AK46" s="567">
        <f>IF(AND(Projects!$C$40&lt;=AK$4,AK$4&lt;=Projects!$C$40+Projects!$D$40-1),Projects!$B$40/Projects!$D$40,"")</f>
        <v/>
      </c>
      <c r="AL46" s="567">
        <f>IF(AND(Projects!$C$40&lt;=AL$4,AL$4&lt;=Projects!$C$40+Projects!$D$40-1),Projects!$B$40/Projects!$D$40,"")</f>
        <v/>
      </c>
      <c r="AM46" s="567">
        <f>IF(AND(Projects!$C$40&lt;=AM$4,AM$4&lt;=Projects!$C$40+Projects!$D$40-1),Projects!$B$40/Projects!$D$40,"")</f>
        <v/>
      </c>
      <c r="AN46" s="567">
        <f>IF(AND(Projects!$C$40&lt;=AN$4,AN$4&lt;=Projects!$C$40+Projects!$D$40-1),Projects!$B$40/Projects!$D$40,"")</f>
        <v/>
      </c>
      <c r="AO46" s="567">
        <f>IF(AND(Projects!$C$40&lt;=AO$4,AO$4&lt;=Projects!$C$40+Projects!$D$40-1),Projects!$B$40/Projects!$D$40,"")</f>
        <v/>
      </c>
      <c r="AP46" s="567">
        <f>IF(AND(Projects!$C$40&lt;=AP$4,AP$4&lt;=Projects!$C$40+Projects!$D$40-1),Projects!$B$40/Projects!$D$40,"")</f>
        <v/>
      </c>
      <c r="AQ46" s="567">
        <f>IF(AND(Projects!$C$40&lt;=AQ$4,AQ$4&lt;=Projects!$C$40+Projects!$D$40-1),Projects!$B$40/Projects!$D$40,"")</f>
        <v/>
      </c>
      <c r="AR46" s="567">
        <f>IF(AND(Projects!$C$40&lt;=AR$4,AR$4&lt;=Projects!$C$40+Projects!$D$40-1),Projects!$B$40/Projects!$D$40,"")</f>
        <v/>
      </c>
      <c r="AS46" s="567">
        <f>IF(AND(Projects!$C$40&lt;=AS$4,AS$4&lt;=Projects!$C$40+Projects!$D$40-1),Projects!$B$40/Projects!$D$40,"")</f>
        <v/>
      </c>
      <c r="AT46" s="567">
        <f>IF(AND(Projects!$C$40&lt;=AT$4,AT$4&lt;=Projects!$C$40+Projects!$D$40-1),Projects!$B$40/Projects!$D$40,"")</f>
        <v/>
      </c>
      <c r="AU46" s="567">
        <f>IF(AND(Projects!$C$40&lt;=AU$4,AU$4&lt;=Projects!$C$40+Projects!$D$40-1),Projects!$B$40/Projects!$D$40,"")</f>
        <v/>
      </c>
      <c r="AV46" s="567">
        <f>IF(AND(Projects!$C$40&lt;=AV$4,AV$4&lt;=Projects!$C$40+Projects!$D$40-1),Projects!$B$40/Projects!$D$40,"")</f>
        <v/>
      </c>
      <c r="AW46" s="567">
        <f>IF(AND(Projects!$C$40&lt;=AW$4,AW$4&lt;=Projects!$C$40+Projects!$D$40-1),Projects!$B$40/Projects!$D$40,"")</f>
        <v/>
      </c>
      <c r="AX46" s="567">
        <f>IF(AND(Projects!$C$40&lt;=AX$4,AX$4&lt;=Projects!$C$40+Projects!$D$40-1),Projects!$B$40/Projects!$D$40,"")</f>
        <v/>
      </c>
      <c r="AY46" s="567">
        <f>IF(AND(Projects!$C$40&lt;=AY$4,AY$4&lt;=Projects!$C$40+Projects!$D$40-1),Projects!$B$40/Projects!$D$40,"")</f>
        <v/>
      </c>
      <c r="AZ46" s="567">
        <f>IF(AND(Projects!$C$40&lt;=AZ$4,AZ$4&lt;=Projects!$C$40+Projects!$D$40-1),Projects!$B$40/Projects!$D$40,"")</f>
        <v/>
      </c>
      <c r="BA46" s="567">
        <f>IF(AND(Projects!$C$40&lt;=BA$4,BA$4&lt;=Projects!$C$40+Projects!$D$40-1),Projects!$B$40/Projects!$D$40,"")</f>
        <v/>
      </c>
      <c r="BB46" s="567">
        <f>IF(AND(Projects!$C$40&lt;=BB$4,BB$4&lt;=Projects!$C$40+Projects!$D$40-1),Projects!$B$40/Projects!$D$40,"")</f>
        <v/>
      </c>
      <c r="BC46" s="567">
        <f>IF(AND(Projects!$C$40&lt;=BC$4,BC$4&lt;=Projects!$C$40+Projects!$D$40-1),Projects!$B$40/Projects!$D$40,"")</f>
        <v/>
      </c>
      <c r="BD46" s="567">
        <f>IF(AND(Projects!$C$40&lt;=BD$4,BD$4&lt;=Projects!$C$40+Projects!$D$40-1),Projects!$B$40/Projects!$D$40,"")</f>
        <v/>
      </c>
      <c r="BE46" s="567">
        <f>IF(AND(Projects!$C$40&lt;=BE$4,BE$4&lt;=Projects!$C$40+Projects!$D$40-1),Projects!$B$40/Projects!$D$40,"")</f>
        <v/>
      </c>
      <c r="BF46" s="567">
        <f>IF(AND(Projects!$C$40&lt;=BF$4,BF$4&lt;=Projects!$C$40+Projects!$D$40-1),Projects!$B$40/Projects!$D$40,"")</f>
        <v/>
      </c>
      <c r="BG46" s="567">
        <f>IF(AND(Projects!$C$40&lt;=BG$4,BG$4&lt;=Projects!$C$40+Projects!$D$40-1),Projects!$B$40/Projects!$D$40,"")</f>
        <v/>
      </c>
      <c r="BH46" s="567">
        <f>IF(AND(Projects!$C$40&lt;=BH$4,BH$4&lt;=Projects!$C$40+Projects!$D$40-1),Projects!$B$40/Projects!$D$40,"")</f>
        <v/>
      </c>
      <c r="BI46" s="567">
        <f>IF(AND(Projects!$C$40&lt;=BI$4,BI$4&lt;=Projects!$C$40+Projects!$D$40-1),Projects!$B$40/Projects!$D$40,"")</f>
        <v/>
      </c>
      <c r="BJ46" s="567">
        <f>IF(AND(Projects!$C$40&lt;=BJ$4,BJ$4&lt;=Projects!$C$40+Projects!$D$40-1),Projects!$B$40/Projects!$D$40,"")</f>
        <v/>
      </c>
      <c r="BK46" s="567">
        <f>IF(AND(Projects!$C$40&lt;=BK$4,BK$4&lt;=Projects!$C$40+Projects!$D$40-1),Projects!$B$40/Projects!$D$40,"")</f>
        <v/>
      </c>
      <c r="BL46" s="567">
        <f>IF(AND(Projects!$C$40&lt;=BL$4,BL$4&lt;=Projects!$C$40+Projects!$D$40-1),Projects!$B$40/Projects!$D$40,"")</f>
        <v/>
      </c>
      <c r="BM46" s="567">
        <f>IF(AND(Projects!$C$40&lt;=BM$4,BM$4&lt;=Projects!$C$40+Projects!$D$40-1),Projects!$B$40/Projects!$D$40,"")</f>
        <v/>
      </c>
      <c r="BN46" s="567">
        <f>IF(AND(Projects!$C$40&lt;=BN$4,BN$4&lt;=Projects!$C$40+Projects!$D$40-1),Projects!$B$40/Projects!$D$40,"")</f>
        <v/>
      </c>
      <c r="BO46" s="567">
        <f>IF(AND(Projects!$C$40&lt;=BO$4,BO$4&lt;=Projects!$C$40+Projects!$D$40-1),Projects!$B$40/Projects!$D$40,"")</f>
        <v/>
      </c>
      <c r="BP46" s="567">
        <f>IF(AND(Projects!$C$40&lt;=BP$4,BP$4&lt;=Projects!$C$40+Projects!$D$40-1),Projects!$B$40/Projects!$D$40,"")</f>
        <v/>
      </c>
      <c r="BQ46" s="567">
        <f>IF(AND(Projects!$C$40&lt;=BQ$4,BQ$4&lt;=Projects!$C$40+Projects!$D$40-1),Projects!$B$40/Projects!$D$40,"")</f>
        <v/>
      </c>
      <c r="BR46" s="567">
        <f>IF(AND(Projects!$C$40&lt;=BR$4,BR$4&lt;=Projects!$C$40+Projects!$D$40-1),Projects!$B$40/Projects!$D$40,"")</f>
        <v/>
      </c>
      <c r="BS46" s="567">
        <f>IF(AND(Projects!$C$40&lt;=BS$4,BS$4&lt;=Projects!$C$40+Projects!$D$40-1),Projects!$B$40/Projects!$D$40,"")</f>
        <v/>
      </c>
      <c r="BT46" s="567">
        <f>IF(AND(Projects!$C$40&lt;=BT$4,BT$4&lt;=Projects!$C$40+Projects!$D$40-1),Projects!$B$40/Projects!$D$40,"")</f>
        <v/>
      </c>
      <c r="BU46" s="567">
        <f>IF(AND(Projects!$C$40&lt;=BU$4,BU$4&lt;=Projects!$C$40+Projects!$D$40-1),Projects!$B$40/Projects!$D$40,"")</f>
        <v/>
      </c>
      <c r="BV46" s="567">
        <f>IF(AND(Projects!$C$40&lt;=BV$4,BV$4&lt;=Projects!$C$40+Projects!$D$40-1),Projects!$B$40/Projects!$D$40,"")</f>
        <v/>
      </c>
      <c r="BW46" s="567">
        <f>IF(AND(Projects!$C$40&lt;=BW$4,BW$4&lt;=Projects!$C$40+Projects!$D$40-1),Projects!$B$40/Projects!$D$40,"")</f>
        <v/>
      </c>
      <c r="BX46" s="567">
        <f>IF(AND(Projects!$C$40&lt;=BX$4,BX$4&lt;=Projects!$C$40+Projects!$D$40-1),Projects!$B$40/Projects!$D$40,"")</f>
        <v/>
      </c>
      <c r="BY46" s="567">
        <f>IF(AND(Projects!$C$40&lt;=BY$4,BY$4&lt;=Projects!$C$40+Projects!$D$40-1),Projects!$B$40/Projects!$D$40,"")</f>
        <v/>
      </c>
      <c r="BZ46" s="567">
        <f>IF(AND(Projects!$C$40&lt;=BZ$4,BZ$4&lt;=Projects!$C$40+Projects!$D$40-1),Projects!$B$40/Projects!$D$40,"")</f>
        <v/>
      </c>
      <c r="CA46" s="567">
        <f>IF(AND(Projects!$C$40&lt;=CA$4,CA$4&lt;=Projects!$C$40+Projects!$D$40-1),Projects!$B$40/Projects!$D$40,"")</f>
        <v/>
      </c>
      <c r="CB46" s="567">
        <f>IF(AND(Projects!$C$40&lt;=CB$4,CB$4&lt;=Projects!$C$40+Projects!$D$40-1),Projects!$B$40/Projects!$D$40,"")</f>
        <v/>
      </c>
      <c r="CC46" s="567">
        <f>IF(AND(Projects!$C$40&lt;=CC$4,CC$4&lt;=Projects!$C$40+Projects!$D$40-1),Projects!$B$40/Projects!$D$40,"")</f>
        <v/>
      </c>
      <c r="CD46" s="567">
        <f>IF(AND(Projects!$C$40&lt;=CD$4,CD$4&lt;=Projects!$C$40+Projects!$D$40-1),Projects!$B$40/Projects!$D$40,"")</f>
        <v/>
      </c>
      <c r="CE46" s="567">
        <f>IF(AND(Projects!$C$40&lt;=CE$4,CE$4&lt;=Projects!$C$40+Projects!$D$40-1),Projects!$B$40/Projects!$D$40,"")</f>
        <v/>
      </c>
      <c r="CF46" s="567">
        <f>IF(AND(Projects!$C$40&lt;=CF$4,CF$4&lt;=Projects!$C$40+Projects!$D$40-1),Projects!$B$40/Projects!$D$40,"")</f>
        <v/>
      </c>
      <c r="CG46" s="567">
        <f>IF(AND(Projects!$C$40&lt;=CG$4,CG$4&lt;=Projects!$C$40+Projects!$D$40-1),Projects!$B$40/Projects!$D$40,"")</f>
        <v/>
      </c>
      <c r="CH46" s="567">
        <f>IF(AND(Projects!$C$40&lt;=CH$4,CH$4&lt;=Projects!$C$40+Projects!$D$40-1),Projects!$B$40/Projects!$D$40,"")</f>
        <v/>
      </c>
      <c r="CI46" s="567">
        <f>IF(AND(Projects!$C$40&lt;=CI$4,CI$4&lt;=Projects!$C$40+Projects!$D$40-1),Projects!$B$40/Projects!$D$40,"")</f>
        <v/>
      </c>
      <c r="CJ46" s="567">
        <f>IF(AND(Projects!$C$40&lt;=CJ$4,CJ$4&lt;=Projects!$C$40+Projects!$D$40-1),Projects!$B$40/Projects!$D$40,"")</f>
        <v/>
      </c>
      <c r="CK46" s="567">
        <f>IF(AND(Projects!$C$40&lt;=CK$4,CK$4&lt;=Projects!$C$40+Projects!$D$40-1),Projects!$B$40/Projects!$D$40,"")</f>
        <v/>
      </c>
      <c r="CL46" s="567">
        <f>IF(AND(Projects!$C$40&lt;=CL$4,CL$4&lt;=Projects!$C$40+Projects!$D$40-1),Projects!$B$40/Projects!$D$40,"")</f>
        <v/>
      </c>
      <c r="CM46" s="567">
        <f>IF(AND(Projects!$C$40&lt;=CM$4,CM$4&lt;=Projects!$C$40+Projects!$D$40-1),Projects!$B$40/Projects!$D$40,"")</f>
        <v/>
      </c>
      <c r="CN46" s="567">
        <f>IF(AND(Projects!$C$40&lt;=CN$4,CN$4&lt;=Projects!$C$40+Projects!$D$40-1),Projects!$B$40/Projects!$D$40,"")</f>
        <v/>
      </c>
      <c r="CO46" s="567">
        <f>IF(AND(Projects!$C$40&lt;=CO$4,CO$4&lt;=Projects!$C$40+Projects!$D$40-1),Projects!$B$40/Projects!$D$40,"")</f>
        <v/>
      </c>
      <c r="CP46" s="567">
        <f>IF(AND(Projects!$C$40&lt;=CP$4,CP$4&lt;=Projects!$C$40+Projects!$D$40-1),Projects!$B$40/Projects!$D$40,"")</f>
        <v/>
      </c>
      <c r="CQ46" s="567">
        <f>IF(AND(Projects!$C$40&lt;=CQ$4,CQ$4&lt;=Projects!$C$40+Projects!$D$40-1),Projects!$B$40/Projects!$D$40,"")</f>
        <v/>
      </c>
      <c r="CR46" s="567">
        <f>IF(AND(Projects!$C$40&lt;=CR$4,CR$4&lt;=Projects!$C$40+Projects!$D$40-1),Projects!$B$40/Projects!$D$40,"")</f>
        <v/>
      </c>
      <c r="CS46" s="567">
        <f>IF(AND(Projects!$C$40&lt;=CS$4,CS$4&lt;=Projects!$C$40+Projects!$D$40-1),Projects!$B$40/Projects!$D$40,"")</f>
        <v/>
      </c>
      <c r="CT46" s="567">
        <f>IF(AND(Projects!$C$40&lt;=CT$4,CT$4&lt;=Projects!$C$40+Projects!$D$40-1),Projects!$B$40/Projects!$D$40,"")</f>
        <v/>
      </c>
      <c r="CU46" s="567">
        <f>IF(AND(Projects!$C$40&lt;=CU$4,CU$4&lt;=Projects!$C$40+Projects!$D$40-1),Projects!$B$40/Projects!$D$40,"")</f>
        <v/>
      </c>
      <c r="CV46" s="567">
        <f>IF(AND(Projects!$C$40&lt;=CV$4,CV$4&lt;=Projects!$C$40+Projects!$D$40-1),Projects!$B$40/Projects!$D$40,"")</f>
        <v/>
      </c>
      <c r="CW46" s="567">
        <f>IF(AND(Projects!$C$40&lt;=CW$4,CW$4&lt;=Projects!$C$40+Projects!$D$40-1),Projects!$B$40/Projects!$D$40,"")</f>
        <v/>
      </c>
      <c r="CX46" s="567">
        <f>IF(AND(Projects!$C$40&lt;=CX$4,CX$4&lt;=Projects!$C$40+Projects!$D$40-1),Projects!$B$40/Projects!$D$40,"")</f>
        <v/>
      </c>
      <c r="CY46" s="567">
        <f>IF(AND(Projects!$C$40&lt;=CY$4,CY$4&lt;=Projects!$C$40+Projects!$D$40-1),Projects!$B$40/Projects!$D$40,"")</f>
        <v/>
      </c>
      <c r="CZ46" s="567">
        <f>IF(AND(Projects!$C$40&lt;=CZ$4,CZ$4&lt;=Projects!$C$40+Projects!$D$40-1),Projects!$B$40/Projects!$D$40,"")</f>
        <v/>
      </c>
      <c r="DA46" s="567">
        <f>IF(AND(Projects!$C$40&lt;=DA$4,DA$4&lt;=Projects!$C$40+Projects!$D$40-1),Projects!$B$40/Projects!$D$40,"")</f>
        <v/>
      </c>
      <c r="DB46" s="567">
        <f>IF(AND(Projects!$C$40&lt;=DB$4,DB$4&lt;=Projects!$C$40+Projects!$D$40-1),Projects!$B$40/Projects!$D$40,"")</f>
        <v/>
      </c>
    </row>
    <row r="47" ht="15" customFormat="1" customHeight="1" s="380">
      <c r="A47" s="563" t="inlineStr">
        <is>
          <t>BD-25</t>
        </is>
      </c>
      <c r="B47" s="564">
        <f>Projects!$B$41</f>
        <v/>
      </c>
      <c r="C47" s="565">
        <f>EDATE(Model!$E$2,Projects!$C$41-1)</f>
        <v/>
      </c>
      <c r="D47" s="565">
        <f>EDATE(Model!$E$2,Projects!$C$41+Projects!$D$41-2)</f>
        <v/>
      </c>
      <c r="E47" s="566">
        <f>Projects!$D$41</f>
        <v/>
      </c>
      <c r="F47" s="564">
        <f>Projects!$B$41/Projects!$D$41</f>
        <v/>
      </c>
      <c r="G47" s="567">
        <f>IF(AND(Projects!$C$41&lt;=G$4,G$4&lt;=Projects!$C$41+Projects!$D$41-1),Projects!$B$41/Projects!$D$41,"")</f>
        <v/>
      </c>
      <c r="H47" s="567">
        <f>IF(AND(Projects!$C$41&lt;=H$4,H$4&lt;=Projects!$C$41+Projects!$D$41-1),Projects!$B$41/Projects!$D$41,"")</f>
        <v/>
      </c>
      <c r="I47" s="567">
        <f>IF(AND(Projects!$C$41&lt;=I$4,I$4&lt;=Projects!$C$41+Projects!$D$41-1),Projects!$B$41/Projects!$D$41,"")</f>
        <v/>
      </c>
      <c r="J47" s="567">
        <f>IF(AND(Projects!$C$41&lt;=J$4,J$4&lt;=Projects!$C$41+Projects!$D$41-1),Projects!$B$41/Projects!$D$41,"")</f>
        <v/>
      </c>
      <c r="K47" s="567">
        <f>IF(AND(Projects!$C$41&lt;=K$4,K$4&lt;=Projects!$C$41+Projects!$D$41-1),Projects!$B$41/Projects!$D$41,"")</f>
        <v/>
      </c>
      <c r="L47" s="567">
        <f>IF(AND(Projects!$C$41&lt;=L$4,L$4&lt;=Projects!$C$41+Projects!$D$41-1),Projects!$B$41/Projects!$D$41,"")</f>
        <v/>
      </c>
      <c r="M47" s="567">
        <f>IF(AND(Projects!$C$41&lt;=M$4,M$4&lt;=Projects!$C$41+Projects!$D$41-1),Projects!$B$41/Projects!$D$41,"")</f>
        <v/>
      </c>
      <c r="N47" s="567">
        <f>IF(AND(Projects!$C$41&lt;=N$4,N$4&lt;=Projects!$C$41+Projects!$D$41-1),Projects!$B$41/Projects!$D$41,"")</f>
        <v/>
      </c>
      <c r="O47" s="567">
        <f>IF(AND(Projects!$C$41&lt;=O$4,O$4&lt;=Projects!$C$41+Projects!$D$41-1),Projects!$B$41/Projects!$D$41,"")</f>
        <v/>
      </c>
      <c r="P47" s="567">
        <f>IF(AND(Projects!$C$41&lt;=P$4,P$4&lt;=Projects!$C$41+Projects!$D$41-1),Projects!$B$41/Projects!$D$41,"")</f>
        <v/>
      </c>
      <c r="Q47" s="567">
        <f>IF(AND(Projects!$C$41&lt;=Q$4,Q$4&lt;=Projects!$C$41+Projects!$D$41-1),Projects!$B$41/Projects!$D$41,"")</f>
        <v/>
      </c>
      <c r="R47" s="567">
        <f>IF(AND(Projects!$C$41&lt;=R$4,R$4&lt;=Projects!$C$41+Projects!$D$41-1),Projects!$B$41/Projects!$D$41,"")</f>
        <v/>
      </c>
      <c r="S47" s="567">
        <f>IF(AND(Projects!$C$41&lt;=S$4,S$4&lt;=Projects!$C$41+Projects!$D$41-1),Projects!$B$41/Projects!$D$41,"")</f>
        <v/>
      </c>
      <c r="T47" s="567">
        <f>IF(AND(Projects!$C$41&lt;=T$4,T$4&lt;=Projects!$C$41+Projects!$D$41-1),Projects!$B$41/Projects!$D$41,"")</f>
        <v/>
      </c>
      <c r="U47" s="567">
        <f>IF(AND(Projects!$C$41&lt;=U$4,U$4&lt;=Projects!$C$41+Projects!$D$41-1),Projects!$B$41/Projects!$D$41,"")</f>
        <v/>
      </c>
      <c r="V47" s="567">
        <f>IF(AND(Projects!$C$41&lt;=V$4,V$4&lt;=Projects!$C$41+Projects!$D$41-1),Projects!$B$41/Projects!$D$41,"")</f>
        <v/>
      </c>
      <c r="W47" s="567">
        <f>IF(AND(Projects!$C$41&lt;=W$4,W$4&lt;=Projects!$C$41+Projects!$D$41-1),Projects!$B$41/Projects!$D$41,"")</f>
        <v/>
      </c>
      <c r="X47" s="567">
        <f>IF(AND(Projects!$C$41&lt;=X$4,X$4&lt;=Projects!$C$41+Projects!$D$41-1),Projects!$B$41/Projects!$D$41,"")</f>
        <v/>
      </c>
      <c r="Y47" s="567">
        <f>IF(AND(Projects!$C$41&lt;=Y$4,Y$4&lt;=Projects!$C$41+Projects!$D$41-1),Projects!$B$41/Projects!$D$41,"")</f>
        <v/>
      </c>
      <c r="Z47" s="567">
        <f>IF(AND(Projects!$C$41&lt;=Z$4,Z$4&lt;=Projects!$C$41+Projects!$D$41-1),Projects!$B$41/Projects!$D$41,"")</f>
        <v/>
      </c>
      <c r="AA47" s="567">
        <f>IF(AND(Projects!$C$41&lt;=AA$4,AA$4&lt;=Projects!$C$41+Projects!$D$41-1),Projects!$B$41/Projects!$D$41,"")</f>
        <v/>
      </c>
      <c r="AB47" s="567">
        <f>IF(AND(Projects!$C$41&lt;=AB$4,AB$4&lt;=Projects!$C$41+Projects!$D$41-1),Projects!$B$41/Projects!$D$41,"")</f>
        <v/>
      </c>
      <c r="AC47" s="567">
        <f>IF(AND(Projects!$C$41&lt;=AC$4,AC$4&lt;=Projects!$C$41+Projects!$D$41-1),Projects!$B$41/Projects!$D$41,"")</f>
        <v/>
      </c>
      <c r="AD47" s="567">
        <f>IF(AND(Projects!$C$41&lt;=AD$4,AD$4&lt;=Projects!$C$41+Projects!$D$41-1),Projects!$B$41/Projects!$D$41,"")</f>
        <v/>
      </c>
      <c r="AE47" s="567">
        <f>IF(AND(Projects!$C$41&lt;=AE$4,AE$4&lt;=Projects!$C$41+Projects!$D$41-1),Projects!$B$41/Projects!$D$41,"")</f>
        <v/>
      </c>
      <c r="AF47" s="567">
        <f>IF(AND(Projects!$C$41&lt;=AF$4,AF$4&lt;=Projects!$C$41+Projects!$D$41-1),Projects!$B$41/Projects!$D$41,"")</f>
        <v/>
      </c>
      <c r="AG47" s="567">
        <f>IF(AND(Projects!$C$41&lt;=AG$4,AG$4&lt;=Projects!$C$41+Projects!$D$41-1),Projects!$B$41/Projects!$D$41,"")</f>
        <v/>
      </c>
      <c r="AH47" s="567">
        <f>IF(AND(Projects!$C$41&lt;=AH$4,AH$4&lt;=Projects!$C$41+Projects!$D$41-1),Projects!$B$41/Projects!$D$41,"")</f>
        <v/>
      </c>
      <c r="AI47" s="567">
        <f>IF(AND(Projects!$C$41&lt;=AI$4,AI$4&lt;=Projects!$C$41+Projects!$D$41-1),Projects!$B$41/Projects!$D$41,"")</f>
        <v/>
      </c>
      <c r="AJ47" s="567">
        <f>IF(AND(Projects!$C$41&lt;=AJ$4,AJ$4&lt;=Projects!$C$41+Projects!$D$41-1),Projects!$B$41/Projects!$D$41,"")</f>
        <v/>
      </c>
      <c r="AK47" s="567">
        <f>IF(AND(Projects!$C$41&lt;=AK$4,AK$4&lt;=Projects!$C$41+Projects!$D$41-1),Projects!$B$41/Projects!$D$41,"")</f>
        <v/>
      </c>
      <c r="AL47" s="567">
        <f>IF(AND(Projects!$C$41&lt;=AL$4,AL$4&lt;=Projects!$C$41+Projects!$D$41-1),Projects!$B$41/Projects!$D$41,"")</f>
        <v/>
      </c>
      <c r="AM47" s="567">
        <f>IF(AND(Projects!$C$41&lt;=AM$4,AM$4&lt;=Projects!$C$41+Projects!$D$41-1),Projects!$B$41/Projects!$D$41,"")</f>
        <v/>
      </c>
      <c r="AN47" s="567">
        <f>IF(AND(Projects!$C$41&lt;=AN$4,AN$4&lt;=Projects!$C$41+Projects!$D$41-1),Projects!$B$41/Projects!$D$41,"")</f>
        <v/>
      </c>
      <c r="AO47" s="567">
        <f>IF(AND(Projects!$C$41&lt;=AO$4,AO$4&lt;=Projects!$C$41+Projects!$D$41-1),Projects!$B$41/Projects!$D$41,"")</f>
        <v/>
      </c>
      <c r="AP47" s="567">
        <f>IF(AND(Projects!$C$41&lt;=AP$4,AP$4&lt;=Projects!$C$41+Projects!$D$41-1),Projects!$B$41/Projects!$D$41,"")</f>
        <v/>
      </c>
      <c r="AQ47" s="567">
        <f>IF(AND(Projects!$C$41&lt;=AQ$4,AQ$4&lt;=Projects!$C$41+Projects!$D$41-1),Projects!$B$41/Projects!$D$41,"")</f>
        <v/>
      </c>
      <c r="AR47" s="567">
        <f>IF(AND(Projects!$C$41&lt;=AR$4,AR$4&lt;=Projects!$C$41+Projects!$D$41-1),Projects!$B$41/Projects!$D$41,"")</f>
        <v/>
      </c>
      <c r="AS47" s="567">
        <f>IF(AND(Projects!$C$41&lt;=AS$4,AS$4&lt;=Projects!$C$41+Projects!$D$41-1),Projects!$B$41/Projects!$D$41,"")</f>
        <v/>
      </c>
      <c r="AT47" s="567">
        <f>IF(AND(Projects!$C$41&lt;=AT$4,AT$4&lt;=Projects!$C$41+Projects!$D$41-1),Projects!$B$41/Projects!$D$41,"")</f>
        <v/>
      </c>
      <c r="AU47" s="567">
        <f>IF(AND(Projects!$C$41&lt;=AU$4,AU$4&lt;=Projects!$C$41+Projects!$D$41-1),Projects!$B$41/Projects!$D$41,"")</f>
        <v/>
      </c>
      <c r="AV47" s="567">
        <f>IF(AND(Projects!$C$41&lt;=AV$4,AV$4&lt;=Projects!$C$41+Projects!$D$41-1),Projects!$B$41/Projects!$D$41,"")</f>
        <v/>
      </c>
      <c r="AW47" s="567">
        <f>IF(AND(Projects!$C$41&lt;=AW$4,AW$4&lt;=Projects!$C$41+Projects!$D$41-1),Projects!$B$41/Projects!$D$41,"")</f>
        <v/>
      </c>
      <c r="AX47" s="567">
        <f>IF(AND(Projects!$C$41&lt;=AX$4,AX$4&lt;=Projects!$C$41+Projects!$D$41-1),Projects!$B$41/Projects!$D$41,"")</f>
        <v/>
      </c>
      <c r="AY47" s="567">
        <f>IF(AND(Projects!$C$41&lt;=AY$4,AY$4&lt;=Projects!$C$41+Projects!$D$41-1),Projects!$B$41/Projects!$D$41,"")</f>
        <v/>
      </c>
      <c r="AZ47" s="567">
        <f>IF(AND(Projects!$C$41&lt;=AZ$4,AZ$4&lt;=Projects!$C$41+Projects!$D$41-1),Projects!$B$41/Projects!$D$41,"")</f>
        <v/>
      </c>
      <c r="BA47" s="567">
        <f>IF(AND(Projects!$C$41&lt;=BA$4,BA$4&lt;=Projects!$C$41+Projects!$D$41-1),Projects!$B$41/Projects!$D$41,"")</f>
        <v/>
      </c>
      <c r="BB47" s="567">
        <f>IF(AND(Projects!$C$41&lt;=BB$4,BB$4&lt;=Projects!$C$41+Projects!$D$41-1),Projects!$B$41/Projects!$D$41,"")</f>
        <v/>
      </c>
      <c r="BC47" s="567">
        <f>IF(AND(Projects!$C$41&lt;=BC$4,BC$4&lt;=Projects!$C$41+Projects!$D$41-1),Projects!$B$41/Projects!$D$41,"")</f>
        <v/>
      </c>
      <c r="BD47" s="567">
        <f>IF(AND(Projects!$C$41&lt;=BD$4,BD$4&lt;=Projects!$C$41+Projects!$D$41-1),Projects!$B$41/Projects!$D$41,"")</f>
        <v/>
      </c>
      <c r="BE47" s="567">
        <f>IF(AND(Projects!$C$41&lt;=BE$4,BE$4&lt;=Projects!$C$41+Projects!$D$41-1),Projects!$B$41/Projects!$D$41,"")</f>
        <v/>
      </c>
      <c r="BF47" s="567">
        <f>IF(AND(Projects!$C$41&lt;=BF$4,BF$4&lt;=Projects!$C$41+Projects!$D$41-1),Projects!$B$41/Projects!$D$41,"")</f>
        <v/>
      </c>
      <c r="BG47" s="567">
        <f>IF(AND(Projects!$C$41&lt;=BG$4,BG$4&lt;=Projects!$C$41+Projects!$D$41-1),Projects!$B$41/Projects!$D$41,"")</f>
        <v/>
      </c>
      <c r="BH47" s="567">
        <f>IF(AND(Projects!$C$41&lt;=BH$4,BH$4&lt;=Projects!$C$41+Projects!$D$41-1),Projects!$B$41/Projects!$D$41,"")</f>
        <v/>
      </c>
      <c r="BI47" s="567">
        <f>IF(AND(Projects!$C$41&lt;=BI$4,BI$4&lt;=Projects!$C$41+Projects!$D$41-1),Projects!$B$41/Projects!$D$41,"")</f>
        <v/>
      </c>
      <c r="BJ47" s="567">
        <f>IF(AND(Projects!$C$41&lt;=BJ$4,BJ$4&lt;=Projects!$C$41+Projects!$D$41-1),Projects!$B$41/Projects!$D$41,"")</f>
        <v/>
      </c>
      <c r="BK47" s="567">
        <f>IF(AND(Projects!$C$41&lt;=BK$4,BK$4&lt;=Projects!$C$41+Projects!$D$41-1),Projects!$B$41/Projects!$D$41,"")</f>
        <v/>
      </c>
      <c r="BL47" s="567">
        <f>IF(AND(Projects!$C$41&lt;=BL$4,BL$4&lt;=Projects!$C$41+Projects!$D$41-1),Projects!$B$41/Projects!$D$41,"")</f>
        <v/>
      </c>
      <c r="BM47" s="567">
        <f>IF(AND(Projects!$C$41&lt;=BM$4,BM$4&lt;=Projects!$C$41+Projects!$D$41-1),Projects!$B$41/Projects!$D$41,"")</f>
        <v/>
      </c>
      <c r="BN47" s="567">
        <f>IF(AND(Projects!$C$41&lt;=BN$4,BN$4&lt;=Projects!$C$41+Projects!$D$41-1),Projects!$B$41/Projects!$D$41,"")</f>
        <v/>
      </c>
      <c r="BO47" s="567">
        <f>IF(AND(Projects!$C$41&lt;=BO$4,BO$4&lt;=Projects!$C$41+Projects!$D$41-1),Projects!$B$41/Projects!$D$41,"")</f>
        <v/>
      </c>
      <c r="BP47" s="567">
        <f>IF(AND(Projects!$C$41&lt;=BP$4,BP$4&lt;=Projects!$C$41+Projects!$D$41-1),Projects!$B$41/Projects!$D$41,"")</f>
        <v/>
      </c>
      <c r="BQ47" s="567">
        <f>IF(AND(Projects!$C$41&lt;=BQ$4,BQ$4&lt;=Projects!$C$41+Projects!$D$41-1),Projects!$B$41/Projects!$D$41,"")</f>
        <v/>
      </c>
      <c r="BR47" s="567">
        <f>IF(AND(Projects!$C$41&lt;=BR$4,BR$4&lt;=Projects!$C$41+Projects!$D$41-1),Projects!$B$41/Projects!$D$41,"")</f>
        <v/>
      </c>
      <c r="BS47" s="567">
        <f>IF(AND(Projects!$C$41&lt;=BS$4,BS$4&lt;=Projects!$C$41+Projects!$D$41-1),Projects!$B$41/Projects!$D$41,"")</f>
        <v/>
      </c>
      <c r="BT47" s="567">
        <f>IF(AND(Projects!$C$41&lt;=BT$4,BT$4&lt;=Projects!$C$41+Projects!$D$41-1),Projects!$B$41/Projects!$D$41,"")</f>
        <v/>
      </c>
      <c r="BU47" s="567">
        <f>IF(AND(Projects!$C$41&lt;=BU$4,BU$4&lt;=Projects!$C$41+Projects!$D$41-1),Projects!$B$41/Projects!$D$41,"")</f>
        <v/>
      </c>
      <c r="BV47" s="567">
        <f>IF(AND(Projects!$C$41&lt;=BV$4,BV$4&lt;=Projects!$C$41+Projects!$D$41-1),Projects!$B$41/Projects!$D$41,"")</f>
        <v/>
      </c>
      <c r="BW47" s="567">
        <f>IF(AND(Projects!$C$41&lt;=BW$4,BW$4&lt;=Projects!$C$41+Projects!$D$41-1),Projects!$B$41/Projects!$D$41,"")</f>
        <v/>
      </c>
      <c r="BX47" s="567">
        <f>IF(AND(Projects!$C$41&lt;=BX$4,BX$4&lt;=Projects!$C$41+Projects!$D$41-1),Projects!$B$41/Projects!$D$41,"")</f>
        <v/>
      </c>
      <c r="BY47" s="567">
        <f>IF(AND(Projects!$C$41&lt;=BY$4,BY$4&lt;=Projects!$C$41+Projects!$D$41-1),Projects!$B$41/Projects!$D$41,"")</f>
        <v/>
      </c>
      <c r="BZ47" s="567">
        <f>IF(AND(Projects!$C$41&lt;=BZ$4,BZ$4&lt;=Projects!$C$41+Projects!$D$41-1),Projects!$B$41/Projects!$D$41,"")</f>
        <v/>
      </c>
      <c r="CA47" s="567">
        <f>IF(AND(Projects!$C$41&lt;=CA$4,CA$4&lt;=Projects!$C$41+Projects!$D$41-1),Projects!$B$41/Projects!$D$41,"")</f>
        <v/>
      </c>
      <c r="CB47" s="567">
        <f>IF(AND(Projects!$C$41&lt;=CB$4,CB$4&lt;=Projects!$C$41+Projects!$D$41-1),Projects!$B$41/Projects!$D$41,"")</f>
        <v/>
      </c>
      <c r="CC47" s="567">
        <f>IF(AND(Projects!$C$41&lt;=CC$4,CC$4&lt;=Projects!$C$41+Projects!$D$41-1),Projects!$B$41/Projects!$D$41,"")</f>
        <v/>
      </c>
      <c r="CD47" s="567">
        <f>IF(AND(Projects!$C$41&lt;=CD$4,CD$4&lt;=Projects!$C$41+Projects!$D$41-1),Projects!$B$41/Projects!$D$41,"")</f>
        <v/>
      </c>
      <c r="CE47" s="567">
        <f>IF(AND(Projects!$C$41&lt;=CE$4,CE$4&lt;=Projects!$C$41+Projects!$D$41-1),Projects!$B$41/Projects!$D$41,"")</f>
        <v/>
      </c>
      <c r="CF47" s="567">
        <f>IF(AND(Projects!$C$41&lt;=CF$4,CF$4&lt;=Projects!$C$41+Projects!$D$41-1),Projects!$B$41/Projects!$D$41,"")</f>
        <v/>
      </c>
      <c r="CG47" s="567">
        <f>IF(AND(Projects!$C$41&lt;=CG$4,CG$4&lt;=Projects!$C$41+Projects!$D$41-1),Projects!$B$41/Projects!$D$41,"")</f>
        <v/>
      </c>
      <c r="CH47" s="567">
        <f>IF(AND(Projects!$C$41&lt;=CH$4,CH$4&lt;=Projects!$C$41+Projects!$D$41-1),Projects!$B$41/Projects!$D$41,"")</f>
        <v/>
      </c>
      <c r="CI47" s="567">
        <f>IF(AND(Projects!$C$41&lt;=CI$4,CI$4&lt;=Projects!$C$41+Projects!$D$41-1),Projects!$B$41/Projects!$D$41,"")</f>
        <v/>
      </c>
      <c r="CJ47" s="567">
        <f>IF(AND(Projects!$C$41&lt;=CJ$4,CJ$4&lt;=Projects!$C$41+Projects!$D$41-1),Projects!$B$41/Projects!$D$41,"")</f>
        <v/>
      </c>
      <c r="CK47" s="567">
        <f>IF(AND(Projects!$C$41&lt;=CK$4,CK$4&lt;=Projects!$C$41+Projects!$D$41-1),Projects!$B$41/Projects!$D$41,"")</f>
        <v/>
      </c>
      <c r="CL47" s="567">
        <f>IF(AND(Projects!$C$41&lt;=CL$4,CL$4&lt;=Projects!$C$41+Projects!$D$41-1),Projects!$B$41/Projects!$D$41,"")</f>
        <v/>
      </c>
      <c r="CM47" s="567">
        <f>IF(AND(Projects!$C$41&lt;=CM$4,CM$4&lt;=Projects!$C$41+Projects!$D$41-1),Projects!$B$41/Projects!$D$41,"")</f>
        <v/>
      </c>
      <c r="CN47" s="567">
        <f>IF(AND(Projects!$C$41&lt;=CN$4,CN$4&lt;=Projects!$C$41+Projects!$D$41-1),Projects!$B$41/Projects!$D$41,"")</f>
        <v/>
      </c>
      <c r="CO47" s="567">
        <f>IF(AND(Projects!$C$41&lt;=CO$4,CO$4&lt;=Projects!$C$41+Projects!$D$41-1),Projects!$B$41/Projects!$D$41,"")</f>
        <v/>
      </c>
      <c r="CP47" s="567">
        <f>IF(AND(Projects!$C$41&lt;=CP$4,CP$4&lt;=Projects!$C$41+Projects!$D$41-1),Projects!$B$41/Projects!$D$41,"")</f>
        <v/>
      </c>
      <c r="CQ47" s="567">
        <f>IF(AND(Projects!$C$41&lt;=CQ$4,CQ$4&lt;=Projects!$C$41+Projects!$D$41-1),Projects!$B$41/Projects!$D$41,"")</f>
        <v/>
      </c>
      <c r="CR47" s="567">
        <f>IF(AND(Projects!$C$41&lt;=CR$4,CR$4&lt;=Projects!$C$41+Projects!$D$41-1),Projects!$B$41/Projects!$D$41,"")</f>
        <v/>
      </c>
      <c r="CS47" s="567">
        <f>IF(AND(Projects!$C$41&lt;=CS$4,CS$4&lt;=Projects!$C$41+Projects!$D$41-1),Projects!$B$41/Projects!$D$41,"")</f>
        <v/>
      </c>
      <c r="CT47" s="567">
        <f>IF(AND(Projects!$C$41&lt;=CT$4,CT$4&lt;=Projects!$C$41+Projects!$D$41-1),Projects!$B$41/Projects!$D$41,"")</f>
        <v/>
      </c>
      <c r="CU47" s="567">
        <f>IF(AND(Projects!$C$41&lt;=CU$4,CU$4&lt;=Projects!$C$41+Projects!$D$41-1),Projects!$B$41/Projects!$D$41,"")</f>
        <v/>
      </c>
      <c r="CV47" s="567">
        <f>IF(AND(Projects!$C$41&lt;=CV$4,CV$4&lt;=Projects!$C$41+Projects!$D$41-1),Projects!$B$41/Projects!$D$41,"")</f>
        <v/>
      </c>
      <c r="CW47" s="567">
        <f>IF(AND(Projects!$C$41&lt;=CW$4,CW$4&lt;=Projects!$C$41+Projects!$D$41-1),Projects!$B$41/Projects!$D$41,"")</f>
        <v/>
      </c>
      <c r="CX47" s="567">
        <f>IF(AND(Projects!$C$41&lt;=CX$4,CX$4&lt;=Projects!$C$41+Projects!$D$41-1),Projects!$B$41/Projects!$D$41,"")</f>
        <v/>
      </c>
      <c r="CY47" s="567">
        <f>IF(AND(Projects!$C$41&lt;=CY$4,CY$4&lt;=Projects!$C$41+Projects!$D$41-1),Projects!$B$41/Projects!$D$41,"")</f>
        <v/>
      </c>
      <c r="CZ47" s="567">
        <f>IF(AND(Projects!$C$41&lt;=CZ$4,CZ$4&lt;=Projects!$C$41+Projects!$D$41-1),Projects!$B$41/Projects!$D$41,"")</f>
        <v/>
      </c>
      <c r="DA47" s="567">
        <f>IF(AND(Projects!$C$41&lt;=DA$4,DA$4&lt;=Projects!$C$41+Projects!$D$41-1),Projects!$B$41/Projects!$D$41,"")</f>
        <v/>
      </c>
      <c r="DB47" s="567">
        <f>IF(AND(Projects!$C$41&lt;=DB$4,DB$4&lt;=Projects!$C$41+Projects!$D$41-1),Projects!$B$41/Projects!$D$41,"")</f>
        <v/>
      </c>
    </row>
    <row r="48" ht="15" customFormat="1" customHeight="1" s="380">
      <c r="A48" s="563" t="inlineStr">
        <is>
          <t>BD-26</t>
        </is>
      </c>
      <c r="B48" s="564">
        <f>Projects!$B$42</f>
        <v/>
      </c>
      <c r="C48" s="565">
        <f>EDATE(Model!$E$2,Projects!$C$42-1)</f>
        <v/>
      </c>
      <c r="D48" s="565">
        <f>EDATE(Model!$E$2,Projects!$C$42+Projects!$D$42-2)</f>
        <v/>
      </c>
      <c r="E48" s="566">
        <f>Projects!$D$42</f>
        <v/>
      </c>
      <c r="F48" s="564">
        <f>Projects!$B$42/Projects!$D$42</f>
        <v/>
      </c>
      <c r="G48" s="567">
        <f>IF(AND(Projects!$C$42&lt;=G$4,G$4&lt;=Projects!$C$42+Projects!$D$42-1),Projects!$B$42/Projects!$D$42,"")</f>
        <v/>
      </c>
      <c r="H48" s="567">
        <f>IF(AND(Projects!$C$42&lt;=H$4,H$4&lt;=Projects!$C$42+Projects!$D$42-1),Projects!$B$42/Projects!$D$42,"")</f>
        <v/>
      </c>
      <c r="I48" s="567">
        <f>IF(AND(Projects!$C$42&lt;=I$4,I$4&lt;=Projects!$C$42+Projects!$D$42-1),Projects!$B$42/Projects!$D$42,"")</f>
        <v/>
      </c>
      <c r="J48" s="567">
        <f>IF(AND(Projects!$C$42&lt;=J$4,J$4&lt;=Projects!$C$42+Projects!$D$42-1),Projects!$B$42/Projects!$D$42,"")</f>
        <v/>
      </c>
      <c r="K48" s="567">
        <f>IF(AND(Projects!$C$42&lt;=K$4,K$4&lt;=Projects!$C$42+Projects!$D$42-1),Projects!$B$42/Projects!$D$42,"")</f>
        <v/>
      </c>
      <c r="L48" s="567">
        <f>IF(AND(Projects!$C$42&lt;=L$4,L$4&lt;=Projects!$C$42+Projects!$D$42-1),Projects!$B$42/Projects!$D$42,"")</f>
        <v/>
      </c>
      <c r="M48" s="567">
        <f>IF(AND(Projects!$C$42&lt;=M$4,M$4&lt;=Projects!$C$42+Projects!$D$42-1),Projects!$B$42/Projects!$D$42,"")</f>
        <v/>
      </c>
      <c r="N48" s="567">
        <f>IF(AND(Projects!$C$42&lt;=N$4,N$4&lt;=Projects!$C$42+Projects!$D$42-1),Projects!$B$42/Projects!$D$42,"")</f>
        <v/>
      </c>
      <c r="O48" s="567">
        <f>IF(AND(Projects!$C$42&lt;=O$4,O$4&lt;=Projects!$C$42+Projects!$D$42-1),Projects!$B$42/Projects!$D$42,"")</f>
        <v/>
      </c>
      <c r="P48" s="567">
        <f>IF(AND(Projects!$C$42&lt;=P$4,P$4&lt;=Projects!$C$42+Projects!$D$42-1),Projects!$B$42/Projects!$D$42,"")</f>
        <v/>
      </c>
      <c r="Q48" s="567">
        <f>IF(AND(Projects!$C$42&lt;=Q$4,Q$4&lt;=Projects!$C$42+Projects!$D$42-1),Projects!$B$42/Projects!$D$42,"")</f>
        <v/>
      </c>
      <c r="R48" s="567">
        <f>IF(AND(Projects!$C$42&lt;=R$4,R$4&lt;=Projects!$C$42+Projects!$D$42-1),Projects!$B$42/Projects!$D$42,"")</f>
        <v/>
      </c>
      <c r="S48" s="567">
        <f>IF(AND(Projects!$C$42&lt;=S$4,S$4&lt;=Projects!$C$42+Projects!$D$42-1),Projects!$B$42/Projects!$D$42,"")</f>
        <v/>
      </c>
      <c r="T48" s="567">
        <f>IF(AND(Projects!$C$42&lt;=T$4,T$4&lt;=Projects!$C$42+Projects!$D$42-1),Projects!$B$42/Projects!$D$42,"")</f>
        <v/>
      </c>
      <c r="U48" s="567">
        <f>IF(AND(Projects!$C$42&lt;=U$4,U$4&lt;=Projects!$C$42+Projects!$D$42-1),Projects!$B$42/Projects!$D$42,"")</f>
        <v/>
      </c>
      <c r="V48" s="567">
        <f>IF(AND(Projects!$C$42&lt;=V$4,V$4&lt;=Projects!$C$42+Projects!$D$42-1),Projects!$B$42/Projects!$D$42,"")</f>
        <v/>
      </c>
      <c r="W48" s="567">
        <f>IF(AND(Projects!$C$42&lt;=W$4,W$4&lt;=Projects!$C$42+Projects!$D$42-1),Projects!$B$42/Projects!$D$42,"")</f>
        <v/>
      </c>
      <c r="X48" s="567">
        <f>IF(AND(Projects!$C$42&lt;=X$4,X$4&lt;=Projects!$C$42+Projects!$D$42-1),Projects!$B$42/Projects!$D$42,"")</f>
        <v/>
      </c>
      <c r="Y48" s="567">
        <f>IF(AND(Projects!$C$42&lt;=Y$4,Y$4&lt;=Projects!$C$42+Projects!$D$42-1),Projects!$B$42/Projects!$D$42,"")</f>
        <v/>
      </c>
      <c r="Z48" s="567">
        <f>IF(AND(Projects!$C$42&lt;=Z$4,Z$4&lt;=Projects!$C$42+Projects!$D$42-1),Projects!$B$42/Projects!$D$42,"")</f>
        <v/>
      </c>
      <c r="AA48" s="567">
        <f>IF(AND(Projects!$C$42&lt;=AA$4,AA$4&lt;=Projects!$C$42+Projects!$D$42-1),Projects!$B$42/Projects!$D$42,"")</f>
        <v/>
      </c>
      <c r="AB48" s="567">
        <f>IF(AND(Projects!$C$42&lt;=AB$4,AB$4&lt;=Projects!$C$42+Projects!$D$42-1),Projects!$B$42/Projects!$D$42,"")</f>
        <v/>
      </c>
      <c r="AC48" s="567">
        <f>IF(AND(Projects!$C$42&lt;=AC$4,AC$4&lt;=Projects!$C$42+Projects!$D$42-1),Projects!$B$42/Projects!$D$42,"")</f>
        <v/>
      </c>
      <c r="AD48" s="567">
        <f>IF(AND(Projects!$C$42&lt;=AD$4,AD$4&lt;=Projects!$C$42+Projects!$D$42-1),Projects!$B$42/Projects!$D$42,"")</f>
        <v/>
      </c>
      <c r="AE48" s="567">
        <f>IF(AND(Projects!$C$42&lt;=AE$4,AE$4&lt;=Projects!$C$42+Projects!$D$42-1),Projects!$B$42/Projects!$D$42,"")</f>
        <v/>
      </c>
      <c r="AF48" s="567">
        <f>IF(AND(Projects!$C$42&lt;=AF$4,AF$4&lt;=Projects!$C$42+Projects!$D$42-1),Projects!$B$42/Projects!$D$42,"")</f>
        <v/>
      </c>
      <c r="AG48" s="567">
        <f>IF(AND(Projects!$C$42&lt;=AG$4,AG$4&lt;=Projects!$C$42+Projects!$D$42-1),Projects!$B$42/Projects!$D$42,"")</f>
        <v/>
      </c>
      <c r="AH48" s="567">
        <f>IF(AND(Projects!$C$42&lt;=AH$4,AH$4&lt;=Projects!$C$42+Projects!$D$42-1),Projects!$B$42/Projects!$D$42,"")</f>
        <v/>
      </c>
      <c r="AI48" s="567">
        <f>IF(AND(Projects!$C$42&lt;=AI$4,AI$4&lt;=Projects!$C$42+Projects!$D$42-1),Projects!$B$42/Projects!$D$42,"")</f>
        <v/>
      </c>
      <c r="AJ48" s="567">
        <f>IF(AND(Projects!$C$42&lt;=AJ$4,AJ$4&lt;=Projects!$C$42+Projects!$D$42-1),Projects!$B$42/Projects!$D$42,"")</f>
        <v/>
      </c>
      <c r="AK48" s="567">
        <f>IF(AND(Projects!$C$42&lt;=AK$4,AK$4&lt;=Projects!$C$42+Projects!$D$42-1),Projects!$B$42/Projects!$D$42,"")</f>
        <v/>
      </c>
      <c r="AL48" s="567">
        <f>IF(AND(Projects!$C$42&lt;=AL$4,AL$4&lt;=Projects!$C$42+Projects!$D$42-1),Projects!$B$42/Projects!$D$42,"")</f>
        <v/>
      </c>
      <c r="AM48" s="567">
        <f>IF(AND(Projects!$C$42&lt;=AM$4,AM$4&lt;=Projects!$C$42+Projects!$D$42-1),Projects!$B$42/Projects!$D$42,"")</f>
        <v/>
      </c>
      <c r="AN48" s="567">
        <f>IF(AND(Projects!$C$42&lt;=AN$4,AN$4&lt;=Projects!$C$42+Projects!$D$42-1),Projects!$B$42/Projects!$D$42,"")</f>
        <v/>
      </c>
      <c r="AO48" s="567">
        <f>IF(AND(Projects!$C$42&lt;=AO$4,AO$4&lt;=Projects!$C$42+Projects!$D$42-1),Projects!$B$42/Projects!$D$42,"")</f>
        <v/>
      </c>
      <c r="AP48" s="567">
        <f>IF(AND(Projects!$C$42&lt;=AP$4,AP$4&lt;=Projects!$C$42+Projects!$D$42-1),Projects!$B$42/Projects!$D$42,"")</f>
        <v/>
      </c>
      <c r="AQ48" s="567">
        <f>IF(AND(Projects!$C$42&lt;=AQ$4,AQ$4&lt;=Projects!$C$42+Projects!$D$42-1),Projects!$B$42/Projects!$D$42,"")</f>
        <v/>
      </c>
      <c r="AR48" s="567">
        <f>IF(AND(Projects!$C$42&lt;=AR$4,AR$4&lt;=Projects!$C$42+Projects!$D$42-1),Projects!$B$42/Projects!$D$42,"")</f>
        <v/>
      </c>
      <c r="AS48" s="567">
        <f>IF(AND(Projects!$C$42&lt;=AS$4,AS$4&lt;=Projects!$C$42+Projects!$D$42-1),Projects!$B$42/Projects!$D$42,"")</f>
        <v/>
      </c>
      <c r="AT48" s="567">
        <f>IF(AND(Projects!$C$42&lt;=AT$4,AT$4&lt;=Projects!$C$42+Projects!$D$42-1),Projects!$B$42/Projects!$D$42,"")</f>
        <v/>
      </c>
      <c r="AU48" s="567">
        <f>IF(AND(Projects!$C$42&lt;=AU$4,AU$4&lt;=Projects!$C$42+Projects!$D$42-1),Projects!$B$42/Projects!$D$42,"")</f>
        <v/>
      </c>
      <c r="AV48" s="567">
        <f>IF(AND(Projects!$C$42&lt;=AV$4,AV$4&lt;=Projects!$C$42+Projects!$D$42-1),Projects!$B$42/Projects!$D$42,"")</f>
        <v/>
      </c>
      <c r="AW48" s="567">
        <f>IF(AND(Projects!$C$42&lt;=AW$4,AW$4&lt;=Projects!$C$42+Projects!$D$42-1),Projects!$B$42/Projects!$D$42,"")</f>
        <v/>
      </c>
      <c r="AX48" s="567">
        <f>IF(AND(Projects!$C$42&lt;=AX$4,AX$4&lt;=Projects!$C$42+Projects!$D$42-1),Projects!$B$42/Projects!$D$42,"")</f>
        <v/>
      </c>
      <c r="AY48" s="567">
        <f>IF(AND(Projects!$C$42&lt;=AY$4,AY$4&lt;=Projects!$C$42+Projects!$D$42-1),Projects!$B$42/Projects!$D$42,"")</f>
        <v/>
      </c>
      <c r="AZ48" s="567">
        <f>IF(AND(Projects!$C$42&lt;=AZ$4,AZ$4&lt;=Projects!$C$42+Projects!$D$42-1),Projects!$B$42/Projects!$D$42,"")</f>
        <v/>
      </c>
      <c r="BA48" s="567">
        <f>IF(AND(Projects!$C$42&lt;=BA$4,BA$4&lt;=Projects!$C$42+Projects!$D$42-1),Projects!$B$42/Projects!$D$42,"")</f>
        <v/>
      </c>
      <c r="BB48" s="567">
        <f>IF(AND(Projects!$C$42&lt;=BB$4,BB$4&lt;=Projects!$C$42+Projects!$D$42-1),Projects!$B$42/Projects!$D$42,"")</f>
        <v/>
      </c>
      <c r="BC48" s="567">
        <f>IF(AND(Projects!$C$42&lt;=BC$4,BC$4&lt;=Projects!$C$42+Projects!$D$42-1),Projects!$B$42/Projects!$D$42,"")</f>
        <v/>
      </c>
      <c r="BD48" s="567">
        <f>IF(AND(Projects!$C$42&lt;=BD$4,BD$4&lt;=Projects!$C$42+Projects!$D$42-1),Projects!$B$42/Projects!$D$42,"")</f>
        <v/>
      </c>
      <c r="BE48" s="567">
        <f>IF(AND(Projects!$C$42&lt;=BE$4,BE$4&lt;=Projects!$C$42+Projects!$D$42-1),Projects!$B$42/Projects!$D$42,"")</f>
        <v/>
      </c>
      <c r="BF48" s="567">
        <f>IF(AND(Projects!$C$42&lt;=BF$4,BF$4&lt;=Projects!$C$42+Projects!$D$42-1),Projects!$B$42/Projects!$D$42,"")</f>
        <v/>
      </c>
      <c r="BG48" s="567">
        <f>IF(AND(Projects!$C$42&lt;=BG$4,BG$4&lt;=Projects!$C$42+Projects!$D$42-1),Projects!$B$42/Projects!$D$42,"")</f>
        <v/>
      </c>
      <c r="BH48" s="567">
        <f>IF(AND(Projects!$C$42&lt;=BH$4,BH$4&lt;=Projects!$C$42+Projects!$D$42-1),Projects!$B$42/Projects!$D$42,"")</f>
        <v/>
      </c>
      <c r="BI48" s="567">
        <f>IF(AND(Projects!$C$42&lt;=BI$4,BI$4&lt;=Projects!$C$42+Projects!$D$42-1),Projects!$B$42/Projects!$D$42,"")</f>
        <v/>
      </c>
      <c r="BJ48" s="567">
        <f>IF(AND(Projects!$C$42&lt;=BJ$4,BJ$4&lt;=Projects!$C$42+Projects!$D$42-1),Projects!$B$42/Projects!$D$42,"")</f>
        <v/>
      </c>
      <c r="BK48" s="567">
        <f>IF(AND(Projects!$C$42&lt;=BK$4,BK$4&lt;=Projects!$C$42+Projects!$D$42-1),Projects!$B$42/Projects!$D$42,"")</f>
        <v/>
      </c>
      <c r="BL48" s="567">
        <f>IF(AND(Projects!$C$42&lt;=BL$4,BL$4&lt;=Projects!$C$42+Projects!$D$42-1),Projects!$B$42/Projects!$D$42,"")</f>
        <v/>
      </c>
      <c r="BM48" s="567">
        <f>IF(AND(Projects!$C$42&lt;=BM$4,BM$4&lt;=Projects!$C$42+Projects!$D$42-1),Projects!$B$42/Projects!$D$42,"")</f>
        <v/>
      </c>
      <c r="BN48" s="567">
        <f>IF(AND(Projects!$C$42&lt;=BN$4,BN$4&lt;=Projects!$C$42+Projects!$D$42-1),Projects!$B$42/Projects!$D$42,"")</f>
        <v/>
      </c>
      <c r="BO48" s="567">
        <f>IF(AND(Projects!$C$42&lt;=BO$4,BO$4&lt;=Projects!$C$42+Projects!$D$42-1),Projects!$B$42/Projects!$D$42,"")</f>
        <v/>
      </c>
      <c r="BP48" s="567">
        <f>IF(AND(Projects!$C$42&lt;=BP$4,BP$4&lt;=Projects!$C$42+Projects!$D$42-1),Projects!$B$42/Projects!$D$42,"")</f>
        <v/>
      </c>
      <c r="BQ48" s="567">
        <f>IF(AND(Projects!$C$42&lt;=BQ$4,BQ$4&lt;=Projects!$C$42+Projects!$D$42-1),Projects!$B$42/Projects!$D$42,"")</f>
        <v/>
      </c>
      <c r="BR48" s="567">
        <f>IF(AND(Projects!$C$42&lt;=BR$4,BR$4&lt;=Projects!$C$42+Projects!$D$42-1),Projects!$B$42/Projects!$D$42,"")</f>
        <v/>
      </c>
      <c r="BS48" s="567">
        <f>IF(AND(Projects!$C$42&lt;=BS$4,BS$4&lt;=Projects!$C$42+Projects!$D$42-1),Projects!$B$42/Projects!$D$42,"")</f>
        <v/>
      </c>
      <c r="BT48" s="567">
        <f>IF(AND(Projects!$C$42&lt;=BT$4,BT$4&lt;=Projects!$C$42+Projects!$D$42-1),Projects!$B$42/Projects!$D$42,"")</f>
        <v/>
      </c>
      <c r="BU48" s="567">
        <f>IF(AND(Projects!$C$42&lt;=BU$4,BU$4&lt;=Projects!$C$42+Projects!$D$42-1),Projects!$B$42/Projects!$D$42,"")</f>
        <v/>
      </c>
      <c r="BV48" s="567">
        <f>IF(AND(Projects!$C$42&lt;=BV$4,BV$4&lt;=Projects!$C$42+Projects!$D$42-1),Projects!$B$42/Projects!$D$42,"")</f>
        <v/>
      </c>
      <c r="BW48" s="567">
        <f>IF(AND(Projects!$C$42&lt;=BW$4,BW$4&lt;=Projects!$C$42+Projects!$D$42-1),Projects!$B$42/Projects!$D$42,"")</f>
        <v/>
      </c>
      <c r="BX48" s="567">
        <f>IF(AND(Projects!$C$42&lt;=BX$4,BX$4&lt;=Projects!$C$42+Projects!$D$42-1),Projects!$B$42/Projects!$D$42,"")</f>
        <v/>
      </c>
      <c r="BY48" s="567">
        <f>IF(AND(Projects!$C$42&lt;=BY$4,BY$4&lt;=Projects!$C$42+Projects!$D$42-1),Projects!$B$42/Projects!$D$42,"")</f>
        <v/>
      </c>
      <c r="BZ48" s="567">
        <f>IF(AND(Projects!$C$42&lt;=BZ$4,BZ$4&lt;=Projects!$C$42+Projects!$D$42-1),Projects!$B$42/Projects!$D$42,"")</f>
        <v/>
      </c>
      <c r="CA48" s="567">
        <f>IF(AND(Projects!$C$42&lt;=CA$4,CA$4&lt;=Projects!$C$42+Projects!$D$42-1),Projects!$B$42/Projects!$D$42,"")</f>
        <v/>
      </c>
      <c r="CB48" s="567">
        <f>IF(AND(Projects!$C$42&lt;=CB$4,CB$4&lt;=Projects!$C$42+Projects!$D$42-1),Projects!$B$42/Projects!$D$42,"")</f>
        <v/>
      </c>
      <c r="CC48" s="567">
        <f>IF(AND(Projects!$C$42&lt;=CC$4,CC$4&lt;=Projects!$C$42+Projects!$D$42-1),Projects!$B$42/Projects!$D$42,"")</f>
        <v/>
      </c>
      <c r="CD48" s="567">
        <f>IF(AND(Projects!$C$42&lt;=CD$4,CD$4&lt;=Projects!$C$42+Projects!$D$42-1),Projects!$B$42/Projects!$D$42,"")</f>
        <v/>
      </c>
      <c r="CE48" s="567">
        <f>IF(AND(Projects!$C$42&lt;=CE$4,CE$4&lt;=Projects!$C$42+Projects!$D$42-1),Projects!$B$42/Projects!$D$42,"")</f>
        <v/>
      </c>
      <c r="CF48" s="567">
        <f>IF(AND(Projects!$C$42&lt;=CF$4,CF$4&lt;=Projects!$C$42+Projects!$D$42-1),Projects!$B$42/Projects!$D$42,"")</f>
        <v/>
      </c>
      <c r="CG48" s="567">
        <f>IF(AND(Projects!$C$42&lt;=CG$4,CG$4&lt;=Projects!$C$42+Projects!$D$42-1),Projects!$B$42/Projects!$D$42,"")</f>
        <v/>
      </c>
      <c r="CH48" s="567">
        <f>IF(AND(Projects!$C$42&lt;=CH$4,CH$4&lt;=Projects!$C$42+Projects!$D$42-1),Projects!$B$42/Projects!$D$42,"")</f>
        <v/>
      </c>
      <c r="CI48" s="567">
        <f>IF(AND(Projects!$C$42&lt;=CI$4,CI$4&lt;=Projects!$C$42+Projects!$D$42-1),Projects!$B$42/Projects!$D$42,"")</f>
        <v/>
      </c>
      <c r="CJ48" s="567">
        <f>IF(AND(Projects!$C$42&lt;=CJ$4,CJ$4&lt;=Projects!$C$42+Projects!$D$42-1),Projects!$B$42/Projects!$D$42,"")</f>
        <v/>
      </c>
      <c r="CK48" s="567">
        <f>IF(AND(Projects!$C$42&lt;=CK$4,CK$4&lt;=Projects!$C$42+Projects!$D$42-1),Projects!$B$42/Projects!$D$42,"")</f>
        <v/>
      </c>
      <c r="CL48" s="567">
        <f>IF(AND(Projects!$C$42&lt;=CL$4,CL$4&lt;=Projects!$C$42+Projects!$D$42-1),Projects!$B$42/Projects!$D$42,"")</f>
        <v/>
      </c>
      <c r="CM48" s="567">
        <f>IF(AND(Projects!$C$42&lt;=CM$4,CM$4&lt;=Projects!$C$42+Projects!$D$42-1),Projects!$B$42/Projects!$D$42,"")</f>
        <v/>
      </c>
      <c r="CN48" s="567">
        <f>IF(AND(Projects!$C$42&lt;=CN$4,CN$4&lt;=Projects!$C$42+Projects!$D$42-1),Projects!$B$42/Projects!$D$42,"")</f>
        <v/>
      </c>
      <c r="CO48" s="567">
        <f>IF(AND(Projects!$C$42&lt;=CO$4,CO$4&lt;=Projects!$C$42+Projects!$D$42-1),Projects!$B$42/Projects!$D$42,"")</f>
        <v/>
      </c>
      <c r="CP48" s="567">
        <f>IF(AND(Projects!$C$42&lt;=CP$4,CP$4&lt;=Projects!$C$42+Projects!$D$42-1),Projects!$B$42/Projects!$D$42,"")</f>
        <v/>
      </c>
      <c r="CQ48" s="567">
        <f>IF(AND(Projects!$C$42&lt;=CQ$4,CQ$4&lt;=Projects!$C$42+Projects!$D$42-1),Projects!$B$42/Projects!$D$42,"")</f>
        <v/>
      </c>
      <c r="CR48" s="567">
        <f>IF(AND(Projects!$C$42&lt;=CR$4,CR$4&lt;=Projects!$C$42+Projects!$D$42-1),Projects!$B$42/Projects!$D$42,"")</f>
        <v/>
      </c>
      <c r="CS48" s="567">
        <f>IF(AND(Projects!$C$42&lt;=CS$4,CS$4&lt;=Projects!$C$42+Projects!$D$42-1),Projects!$B$42/Projects!$D$42,"")</f>
        <v/>
      </c>
      <c r="CT48" s="567">
        <f>IF(AND(Projects!$C$42&lt;=CT$4,CT$4&lt;=Projects!$C$42+Projects!$D$42-1),Projects!$B$42/Projects!$D$42,"")</f>
        <v/>
      </c>
      <c r="CU48" s="567">
        <f>IF(AND(Projects!$C$42&lt;=CU$4,CU$4&lt;=Projects!$C$42+Projects!$D$42-1),Projects!$B$42/Projects!$D$42,"")</f>
        <v/>
      </c>
      <c r="CV48" s="567">
        <f>IF(AND(Projects!$C$42&lt;=CV$4,CV$4&lt;=Projects!$C$42+Projects!$D$42-1),Projects!$B$42/Projects!$D$42,"")</f>
        <v/>
      </c>
      <c r="CW48" s="567">
        <f>IF(AND(Projects!$C$42&lt;=CW$4,CW$4&lt;=Projects!$C$42+Projects!$D$42-1),Projects!$B$42/Projects!$D$42,"")</f>
        <v/>
      </c>
      <c r="CX48" s="567">
        <f>IF(AND(Projects!$C$42&lt;=CX$4,CX$4&lt;=Projects!$C$42+Projects!$D$42-1),Projects!$B$42/Projects!$D$42,"")</f>
        <v/>
      </c>
      <c r="CY48" s="567">
        <f>IF(AND(Projects!$C$42&lt;=CY$4,CY$4&lt;=Projects!$C$42+Projects!$D$42-1),Projects!$B$42/Projects!$D$42,"")</f>
        <v/>
      </c>
      <c r="CZ48" s="567">
        <f>IF(AND(Projects!$C$42&lt;=CZ$4,CZ$4&lt;=Projects!$C$42+Projects!$D$42-1),Projects!$B$42/Projects!$D$42,"")</f>
        <v/>
      </c>
      <c r="DA48" s="567">
        <f>IF(AND(Projects!$C$42&lt;=DA$4,DA$4&lt;=Projects!$C$42+Projects!$D$42-1),Projects!$B$42/Projects!$D$42,"")</f>
        <v/>
      </c>
      <c r="DB48" s="567">
        <f>IF(AND(Projects!$C$42&lt;=DB$4,DB$4&lt;=Projects!$C$42+Projects!$D$42-1),Projects!$B$42/Projects!$D$42,"")</f>
        <v/>
      </c>
    </row>
    <row r="49" ht="15" customFormat="1" customHeight="1" s="380">
      <c r="A49" s="563" t="inlineStr">
        <is>
          <t>BD-27</t>
        </is>
      </c>
      <c r="B49" s="564">
        <f>Projects!$B$43</f>
        <v/>
      </c>
      <c r="C49" s="565">
        <f>EDATE(Model!$E$2,Projects!$C$43-1)</f>
        <v/>
      </c>
      <c r="D49" s="565">
        <f>EDATE(Model!$E$2,Projects!$C$43+Projects!$D$43-2)</f>
        <v/>
      </c>
      <c r="E49" s="566">
        <f>Projects!$D$43</f>
        <v/>
      </c>
      <c r="F49" s="564">
        <f>Projects!$B$43/Projects!$D$43</f>
        <v/>
      </c>
      <c r="G49" s="567">
        <f>IF(AND(Projects!$C$43&lt;=G$4,G$4&lt;=Projects!$C$43+Projects!$D$43-1),Projects!$B$43/Projects!$D$43,"")</f>
        <v/>
      </c>
      <c r="H49" s="567">
        <f>IF(AND(Projects!$C$43&lt;=H$4,H$4&lt;=Projects!$C$43+Projects!$D$43-1),Projects!$B$43/Projects!$D$43,"")</f>
        <v/>
      </c>
      <c r="I49" s="567">
        <f>IF(AND(Projects!$C$43&lt;=I$4,I$4&lt;=Projects!$C$43+Projects!$D$43-1),Projects!$B$43/Projects!$D$43,"")</f>
        <v/>
      </c>
      <c r="J49" s="567">
        <f>IF(AND(Projects!$C$43&lt;=J$4,J$4&lt;=Projects!$C$43+Projects!$D$43-1),Projects!$B$43/Projects!$D$43,"")</f>
        <v/>
      </c>
      <c r="K49" s="567">
        <f>IF(AND(Projects!$C$43&lt;=K$4,K$4&lt;=Projects!$C$43+Projects!$D$43-1),Projects!$B$43/Projects!$D$43,"")</f>
        <v/>
      </c>
      <c r="L49" s="567">
        <f>IF(AND(Projects!$C$43&lt;=L$4,L$4&lt;=Projects!$C$43+Projects!$D$43-1),Projects!$B$43/Projects!$D$43,"")</f>
        <v/>
      </c>
      <c r="M49" s="567">
        <f>IF(AND(Projects!$C$43&lt;=M$4,M$4&lt;=Projects!$C$43+Projects!$D$43-1),Projects!$B$43/Projects!$D$43,"")</f>
        <v/>
      </c>
      <c r="N49" s="567">
        <f>IF(AND(Projects!$C$43&lt;=N$4,N$4&lt;=Projects!$C$43+Projects!$D$43-1),Projects!$B$43/Projects!$D$43,"")</f>
        <v/>
      </c>
      <c r="O49" s="567">
        <f>IF(AND(Projects!$C$43&lt;=O$4,O$4&lt;=Projects!$C$43+Projects!$D$43-1),Projects!$B$43/Projects!$D$43,"")</f>
        <v/>
      </c>
      <c r="P49" s="567">
        <f>IF(AND(Projects!$C$43&lt;=P$4,P$4&lt;=Projects!$C$43+Projects!$D$43-1),Projects!$B$43/Projects!$D$43,"")</f>
        <v/>
      </c>
      <c r="Q49" s="567">
        <f>IF(AND(Projects!$C$43&lt;=Q$4,Q$4&lt;=Projects!$C$43+Projects!$D$43-1),Projects!$B$43/Projects!$D$43,"")</f>
        <v/>
      </c>
      <c r="R49" s="567">
        <f>IF(AND(Projects!$C$43&lt;=R$4,R$4&lt;=Projects!$C$43+Projects!$D$43-1),Projects!$B$43/Projects!$D$43,"")</f>
        <v/>
      </c>
      <c r="S49" s="567">
        <f>IF(AND(Projects!$C$43&lt;=S$4,S$4&lt;=Projects!$C$43+Projects!$D$43-1),Projects!$B$43/Projects!$D$43,"")</f>
        <v/>
      </c>
      <c r="T49" s="567">
        <f>IF(AND(Projects!$C$43&lt;=T$4,T$4&lt;=Projects!$C$43+Projects!$D$43-1),Projects!$B$43/Projects!$D$43,"")</f>
        <v/>
      </c>
      <c r="U49" s="567">
        <f>IF(AND(Projects!$C$43&lt;=U$4,U$4&lt;=Projects!$C$43+Projects!$D$43-1),Projects!$B$43/Projects!$D$43,"")</f>
        <v/>
      </c>
      <c r="V49" s="567">
        <f>IF(AND(Projects!$C$43&lt;=V$4,V$4&lt;=Projects!$C$43+Projects!$D$43-1),Projects!$B$43/Projects!$D$43,"")</f>
        <v/>
      </c>
      <c r="W49" s="567">
        <f>IF(AND(Projects!$C$43&lt;=W$4,W$4&lt;=Projects!$C$43+Projects!$D$43-1),Projects!$B$43/Projects!$D$43,"")</f>
        <v/>
      </c>
      <c r="X49" s="567">
        <f>IF(AND(Projects!$C$43&lt;=X$4,X$4&lt;=Projects!$C$43+Projects!$D$43-1),Projects!$B$43/Projects!$D$43,"")</f>
        <v/>
      </c>
      <c r="Y49" s="567">
        <f>IF(AND(Projects!$C$43&lt;=Y$4,Y$4&lt;=Projects!$C$43+Projects!$D$43-1),Projects!$B$43/Projects!$D$43,"")</f>
        <v/>
      </c>
      <c r="Z49" s="567">
        <f>IF(AND(Projects!$C$43&lt;=Z$4,Z$4&lt;=Projects!$C$43+Projects!$D$43-1),Projects!$B$43/Projects!$D$43,"")</f>
        <v/>
      </c>
      <c r="AA49" s="567">
        <f>IF(AND(Projects!$C$43&lt;=AA$4,AA$4&lt;=Projects!$C$43+Projects!$D$43-1),Projects!$B$43/Projects!$D$43,"")</f>
        <v/>
      </c>
      <c r="AB49" s="567">
        <f>IF(AND(Projects!$C$43&lt;=AB$4,AB$4&lt;=Projects!$C$43+Projects!$D$43-1),Projects!$B$43/Projects!$D$43,"")</f>
        <v/>
      </c>
      <c r="AC49" s="567">
        <f>IF(AND(Projects!$C$43&lt;=AC$4,AC$4&lt;=Projects!$C$43+Projects!$D$43-1),Projects!$B$43/Projects!$D$43,"")</f>
        <v/>
      </c>
      <c r="AD49" s="567">
        <f>IF(AND(Projects!$C$43&lt;=AD$4,AD$4&lt;=Projects!$C$43+Projects!$D$43-1),Projects!$B$43/Projects!$D$43,"")</f>
        <v/>
      </c>
      <c r="AE49" s="567">
        <f>IF(AND(Projects!$C$43&lt;=AE$4,AE$4&lt;=Projects!$C$43+Projects!$D$43-1),Projects!$B$43/Projects!$D$43,"")</f>
        <v/>
      </c>
      <c r="AF49" s="567">
        <f>IF(AND(Projects!$C$43&lt;=AF$4,AF$4&lt;=Projects!$C$43+Projects!$D$43-1),Projects!$B$43/Projects!$D$43,"")</f>
        <v/>
      </c>
      <c r="AG49" s="567">
        <f>IF(AND(Projects!$C$43&lt;=AG$4,AG$4&lt;=Projects!$C$43+Projects!$D$43-1),Projects!$B$43/Projects!$D$43,"")</f>
        <v/>
      </c>
      <c r="AH49" s="567">
        <f>IF(AND(Projects!$C$43&lt;=AH$4,AH$4&lt;=Projects!$C$43+Projects!$D$43-1),Projects!$B$43/Projects!$D$43,"")</f>
        <v/>
      </c>
      <c r="AI49" s="567">
        <f>IF(AND(Projects!$C$43&lt;=AI$4,AI$4&lt;=Projects!$C$43+Projects!$D$43-1),Projects!$B$43/Projects!$D$43,"")</f>
        <v/>
      </c>
      <c r="AJ49" s="567">
        <f>IF(AND(Projects!$C$43&lt;=AJ$4,AJ$4&lt;=Projects!$C$43+Projects!$D$43-1),Projects!$B$43/Projects!$D$43,"")</f>
        <v/>
      </c>
      <c r="AK49" s="567">
        <f>IF(AND(Projects!$C$43&lt;=AK$4,AK$4&lt;=Projects!$C$43+Projects!$D$43-1),Projects!$B$43/Projects!$D$43,"")</f>
        <v/>
      </c>
      <c r="AL49" s="567">
        <f>IF(AND(Projects!$C$43&lt;=AL$4,AL$4&lt;=Projects!$C$43+Projects!$D$43-1),Projects!$B$43/Projects!$D$43,"")</f>
        <v/>
      </c>
      <c r="AM49" s="567">
        <f>IF(AND(Projects!$C$43&lt;=AM$4,AM$4&lt;=Projects!$C$43+Projects!$D$43-1),Projects!$B$43/Projects!$D$43,"")</f>
        <v/>
      </c>
      <c r="AN49" s="567">
        <f>IF(AND(Projects!$C$43&lt;=AN$4,AN$4&lt;=Projects!$C$43+Projects!$D$43-1),Projects!$B$43/Projects!$D$43,"")</f>
        <v/>
      </c>
      <c r="AO49" s="567">
        <f>IF(AND(Projects!$C$43&lt;=AO$4,AO$4&lt;=Projects!$C$43+Projects!$D$43-1),Projects!$B$43/Projects!$D$43,"")</f>
        <v/>
      </c>
      <c r="AP49" s="567">
        <f>IF(AND(Projects!$C$43&lt;=AP$4,AP$4&lt;=Projects!$C$43+Projects!$D$43-1),Projects!$B$43/Projects!$D$43,"")</f>
        <v/>
      </c>
      <c r="AQ49" s="567">
        <f>IF(AND(Projects!$C$43&lt;=AQ$4,AQ$4&lt;=Projects!$C$43+Projects!$D$43-1),Projects!$B$43/Projects!$D$43,"")</f>
        <v/>
      </c>
      <c r="AR49" s="567">
        <f>IF(AND(Projects!$C$43&lt;=AR$4,AR$4&lt;=Projects!$C$43+Projects!$D$43-1),Projects!$B$43/Projects!$D$43,"")</f>
        <v/>
      </c>
      <c r="AS49" s="567">
        <f>IF(AND(Projects!$C$43&lt;=AS$4,AS$4&lt;=Projects!$C$43+Projects!$D$43-1),Projects!$B$43/Projects!$D$43,"")</f>
        <v/>
      </c>
      <c r="AT49" s="567">
        <f>IF(AND(Projects!$C$43&lt;=AT$4,AT$4&lt;=Projects!$C$43+Projects!$D$43-1),Projects!$B$43/Projects!$D$43,"")</f>
        <v/>
      </c>
      <c r="AU49" s="567">
        <f>IF(AND(Projects!$C$43&lt;=AU$4,AU$4&lt;=Projects!$C$43+Projects!$D$43-1),Projects!$B$43/Projects!$D$43,"")</f>
        <v/>
      </c>
      <c r="AV49" s="567">
        <f>IF(AND(Projects!$C$43&lt;=AV$4,AV$4&lt;=Projects!$C$43+Projects!$D$43-1),Projects!$B$43/Projects!$D$43,"")</f>
        <v/>
      </c>
      <c r="AW49" s="567">
        <f>IF(AND(Projects!$C$43&lt;=AW$4,AW$4&lt;=Projects!$C$43+Projects!$D$43-1),Projects!$B$43/Projects!$D$43,"")</f>
        <v/>
      </c>
      <c r="AX49" s="567">
        <f>IF(AND(Projects!$C$43&lt;=AX$4,AX$4&lt;=Projects!$C$43+Projects!$D$43-1),Projects!$B$43/Projects!$D$43,"")</f>
        <v/>
      </c>
      <c r="AY49" s="567">
        <f>IF(AND(Projects!$C$43&lt;=AY$4,AY$4&lt;=Projects!$C$43+Projects!$D$43-1),Projects!$B$43/Projects!$D$43,"")</f>
        <v/>
      </c>
      <c r="AZ49" s="567">
        <f>IF(AND(Projects!$C$43&lt;=AZ$4,AZ$4&lt;=Projects!$C$43+Projects!$D$43-1),Projects!$B$43/Projects!$D$43,"")</f>
        <v/>
      </c>
      <c r="BA49" s="567">
        <f>IF(AND(Projects!$C$43&lt;=BA$4,BA$4&lt;=Projects!$C$43+Projects!$D$43-1),Projects!$B$43/Projects!$D$43,"")</f>
        <v/>
      </c>
      <c r="BB49" s="567">
        <f>IF(AND(Projects!$C$43&lt;=BB$4,BB$4&lt;=Projects!$C$43+Projects!$D$43-1),Projects!$B$43/Projects!$D$43,"")</f>
        <v/>
      </c>
      <c r="BC49" s="567">
        <f>IF(AND(Projects!$C$43&lt;=BC$4,BC$4&lt;=Projects!$C$43+Projects!$D$43-1),Projects!$B$43/Projects!$D$43,"")</f>
        <v/>
      </c>
      <c r="BD49" s="567">
        <f>IF(AND(Projects!$C$43&lt;=BD$4,BD$4&lt;=Projects!$C$43+Projects!$D$43-1),Projects!$B$43/Projects!$D$43,"")</f>
        <v/>
      </c>
      <c r="BE49" s="567">
        <f>IF(AND(Projects!$C$43&lt;=BE$4,BE$4&lt;=Projects!$C$43+Projects!$D$43-1),Projects!$B$43/Projects!$D$43,"")</f>
        <v/>
      </c>
      <c r="BF49" s="567">
        <f>IF(AND(Projects!$C$43&lt;=BF$4,BF$4&lt;=Projects!$C$43+Projects!$D$43-1),Projects!$B$43/Projects!$D$43,"")</f>
        <v/>
      </c>
      <c r="BG49" s="567">
        <f>IF(AND(Projects!$C$43&lt;=BG$4,BG$4&lt;=Projects!$C$43+Projects!$D$43-1),Projects!$B$43/Projects!$D$43,"")</f>
        <v/>
      </c>
      <c r="BH49" s="567">
        <f>IF(AND(Projects!$C$43&lt;=BH$4,BH$4&lt;=Projects!$C$43+Projects!$D$43-1),Projects!$B$43/Projects!$D$43,"")</f>
        <v/>
      </c>
      <c r="BI49" s="567">
        <f>IF(AND(Projects!$C$43&lt;=BI$4,BI$4&lt;=Projects!$C$43+Projects!$D$43-1),Projects!$B$43/Projects!$D$43,"")</f>
        <v/>
      </c>
      <c r="BJ49" s="567">
        <f>IF(AND(Projects!$C$43&lt;=BJ$4,BJ$4&lt;=Projects!$C$43+Projects!$D$43-1),Projects!$B$43/Projects!$D$43,"")</f>
        <v/>
      </c>
      <c r="BK49" s="567">
        <f>IF(AND(Projects!$C$43&lt;=BK$4,BK$4&lt;=Projects!$C$43+Projects!$D$43-1),Projects!$B$43/Projects!$D$43,"")</f>
        <v/>
      </c>
      <c r="BL49" s="567">
        <f>IF(AND(Projects!$C$43&lt;=BL$4,BL$4&lt;=Projects!$C$43+Projects!$D$43-1),Projects!$B$43/Projects!$D$43,"")</f>
        <v/>
      </c>
      <c r="BM49" s="567">
        <f>IF(AND(Projects!$C$43&lt;=BM$4,BM$4&lt;=Projects!$C$43+Projects!$D$43-1),Projects!$B$43/Projects!$D$43,"")</f>
        <v/>
      </c>
      <c r="BN49" s="567">
        <f>IF(AND(Projects!$C$43&lt;=BN$4,BN$4&lt;=Projects!$C$43+Projects!$D$43-1),Projects!$B$43/Projects!$D$43,"")</f>
        <v/>
      </c>
      <c r="BO49" s="567">
        <f>IF(AND(Projects!$C$43&lt;=BO$4,BO$4&lt;=Projects!$C$43+Projects!$D$43-1),Projects!$B$43/Projects!$D$43,"")</f>
        <v/>
      </c>
      <c r="BP49" s="567">
        <f>IF(AND(Projects!$C$43&lt;=BP$4,BP$4&lt;=Projects!$C$43+Projects!$D$43-1),Projects!$B$43/Projects!$D$43,"")</f>
        <v/>
      </c>
      <c r="BQ49" s="567">
        <f>IF(AND(Projects!$C$43&lt;=BQ$4,BQ$4&lt;=Projects!$C$43+Projects!$D$43-1),Projects!$B$43/Projects!$D$43,"")</f>
        <v/>
      </c>
      <c r="BR49" s="567">
        <f>IF(AND(Projects!$C$43&lt;=BR$4,BR$4&lt;=Projects!$C$43+Projects!$D$43-1),Projects!$B$43/Projects!$D$43,"")</f>
        <v/>
      </c>
      <c r="BS49" s="567">
        <f>IF(AND(Projects!$C$43&lt;=BS$4,BS$4&lt;=Projects!$C$43+Projects!$D$43-1),Projects!$B$43/Projects!$D$43,"")</f>
        <v/>
      </c>
      <c r="BT49" s="567">
        <f>IF(AND(Projects!$C$43&lt;=BT$4,BT$4&lt;=Projects!$C$43+Projects!$D$43-1),Projects!$B$43/Projects!$D$43,"")</f>
        <v/>
      </c>
      <c r="BU49" s="567">
        <f>IF(AND(Projects!$C$43&lt;=BU$4,BU$4&lt;=Projects!$C$43+Projects!$D$43-1),Projects!$B$43/Projects!$D$43,"")</f>
        <v/>
      </c>
      <c r="BV49" s="567">
        <f>IF(AND(Projects!$C$43&lt;=BV$4,BV$4&lt;=Projects!$C$43+Projects!$D$43-1),Projects!$B$43/Projects!$D$43,"")</f>
        <v/>
      </c>
      <c r="BW49" s="567">
        <f>IF(AND(Projects!$C$43&lt;=BW$4,BW$4&lt;=Projects!$C$43+Projects!$D$43-1),Projects!$B$43/Projects!$D$43,"")</f>
        <v/>
      </c>
      <c r="BX49" s="567">
        <f>IF(AND(Projects!$C$43&lt;=BX$4,BX$4&lt;=Projects!$C$43+Projects!$D$43-1),Projects!$B$43/Projects!$D$43,"")</f>
        <v/>
      </c>
      <c r="BY49" s="567">
        <f>IF(AND(Projects!$C$43&lt;=BY$4,BY$4&lt;=Projects!$C$43+Projects!$D$43-1),Projects!$B$43/Projects!$D$43,"")</f>
        <v/>
      </c>
      <c r="BZ49" s="567">
        <f>IF(AND(Projects!$C$43&lt;=BZ$4,BZ$4&lt;=Projects!$C$43+Projects!$D$43-1),Projects!$B$43/Projects!$D$43,"")</f>
        <v/>
      </c>
      <c r="CA49" s="567">
        <f>IF(AND(Projects!$C$43&lt;=CA$4,CA$4&lt;=Projects!$C$43+Projects!$D$43-1),Projects!$B$43/Projects!$D$43,"")</f>
        <v/>
      </c>
      <c r="CB49" s="567">
        <f>IF(AND(Projects!$C$43&lt;=CB$4,CB$4&lt;=Projects!$C$43+Projects!$D$43-1),Projects!$B$43/Projects!$D$43,"")</f>
        <v/>
      </c>
      <c r="CC49" s="567">
        <f>IF(AND(Projects!$C$43&lt;=CC$4,CC$4&lt;=Projects!$C$43+Projects!$D$43-1),Projects!$B$43/Projects!$D$43,"")</f>
        <v/>
      </c>
      <c r="CD49" s="567">
        <f>IF(AND(Projects!$C$43&lt;=CD$4,CD$4&lt;=Projects!$C$43+Projects!$D$43-1),Projects!$B$43/Projects!$D$43,"")</f>
        <v/>
      </c>
      <c r="CE49" s="567">
        <f>IF(AND(Projects!$C$43&lt;=CE$4,CE$4&lt;=Projects!$C$43+Projects!$D$43-1),Projects!$B$43/Projects!$D$43,"")</f>
        <v/>
      </c>
      <c r="CF49" s="567">
        <f>IF(AND(Projects!$C$43&lt;=CF$4,CF$4&lt;=Projects!$C$43+Projects!$D$43-1),Projects!$B$43/Projects!$D$43,"")</f>
        <v/>
      </c>
      <c r="CG49" s="567">
        <f>IF(AND(Projects!$C$43&lt;=CG$4,CG$4&lt;=Projects!$C$43+Projects!$D$43-1),Projects!$B$43/Projects!$D$43,"")</f>
        <v/>
      </c>
      <c r="CH49" s="567">
        <f>IF(AND(Projects!$C$43&lt;=CH$4,CH$4&lt;=Projects!$C$43+Projects!$D$43-1),Projects!$B$43/Projects!$D$43,"")</f>
        <v/>
      </c>
      <c r="CI49" s="567">
        <f>IF(AND(Projects!$C$43&lt;=CI$4,CI$4&lt;=Projects!$C$43+Projects!$D$43-1),Projects!$B$43/Projects!$D$43,"")</f>
        <v/>
      </c>
      <c r="CJ49" s="567">
        <f>IF(AND(Projects!$C$43&lt;=CJ$4,CJ$4&lt;=Projects!$C$43+Projects!$D$43-1),Projects!$B$43/Projects!$D$43,"")</f>
        <v/>
      </c>
      <c r="CK49" s="567">
        <f>IF(AND(Projects!$C$43&lt;=CK$4,CK$4&lt;=Projects!$C$43+Projects!$D$43-1),Projects!$B$43/Projects!$D$43,"")</f>
        <v/>
      </c>
      <c r="CL49" s="567">
        <f>IF(AND(Projects!$C$43&lt;=CL$4,CL$4&lt;=Projects!$C$43+Projects!$D$43-1),Projects!$B$43/Projects!$D$43,"")</f>
        <v/>
      </c>
      <c r="CM49" s="567">
        <f>IF(AND(Projects!$C$43&lt;=CM$4,CM$4&lt;=Projects!$C$43+Projects!$D$43-1),Projects!$B$43/Projects!$D$43,"")</f>
        <v/>
      </c>
      <c r="CN49" s="567">
        <f>IF(AND(Projects!$C$43&lt;=CN$4,CN$4&lt;=Projects!$C$43+Projects!$D$43-1),Projects!$B$43/Projects!$D$43,"")</f>
        <v/>
      </c>
      <c r="CO49" s="567">
        <f>IF(AND(Projects!$C$43&lt;=CO$4,CO$4&lt;=Projects!$C$43+Projects!$D$43-1),Projects!$B$43/Projects!$D$43,"")</f>
        <v/>
      </c>
      <c r="CP49" s="567">
        <f>IF(AND(Projects!$C$43&lt;=CP$4,CP$4&lt;=Projects!$C$43+Projects!$D$43-1),Projects!$B$43/Projects!$D$43,"")</f>
        <v/>
      </c>
      <c r="CQ49" s="567">
        <f>IF(AND(Projects!$C$43&lt;=CQ$4,CQ$4&lt;=Projects!$C$43+Projects!$D$43-1),Projects!$B$43/Projects!$D$43,"")</f>
        <v/>
      </c>
      <c r="CR49" s="567">
        <f>IF(AND(Projects!$C$43&lt;=CR$4,CR$4&lt;=Projects!$C$43+Projects!$D$43-1),Projects!$B$43/Projects!$D$43,"")</f>
        <v/>
      </c>
      <c r="CS49" s="567">
        <f>IF(AND(Projects!$C$43&lt;=CS$4,CS$4&lt;=Projects!$C$43+Projects!$D$43-1),Projects!$B$43/Projects!$D$43,"")</f>
        <v/>
      </c>
      <c r="CT49" s="567">
        <f>IF(AND(Projects!$C$43&lt;=CT$4,CT$4&lt;=Projects!$C$43+Projects!$D$43-1),Projects!$B$43/Projects!$D$43,"")</f>
        <v/>
      </c>
      <c r="CU49" s="567">
        <f>IF(AND(Projects!$C$43&lt;=CU$4,CU$4&lt;=Projects!$C$43+Projects!$D$43-1),Projects!$B$43/Projects!$D$43,"")</f>
        <v/>
      </c>
      <c r="CV49" s="567">
        <f>IF(AND(Projects!$C$43&lt;=CV$4,CV$4&lt;=Projects!$C$43+Projects!$D$43-1),Projects!$B$43/Projects!$D$43,"")</f>
        <v/>
      </c>
      <c r="CW49" s="567">
        <f>IF(AND(Projects!$C$43&lt;=CW$4,CW$4&lt;=Projects!$C$43+Projects!$D$43-1),Projects!$B$43/Projects!$D$43,"")</f>
        <v/>
      </c>
      <c r="CX49" s="567">
        <f>IF(AND(Projects!$C$43&lt;=CX$4,CX$4&lt;=Projects!$C$43+Projects!$D$43-1),Projects!$B$43/Projects!$D$43,"")</f>
        <v/>
      </c>
      <c r="CY49" s="567">
        <f>IF(AND(Projects!$C$43&lt;=CY$4,CY$4&lt;=Projects!$C$43+Projects!$D$43-1),Projects!$B$43/Projects!$D$43,"")</f>
        <v/>
      </c>
      <c r="CZ49" s="567">
        <f>IF(AND(Projects!$C$43&lt;=CZ$4,CZ$4&lt;=Projects!$C$43+Projects!$D$43-1),Projects!$B$43/Projects!$D$43,"")</f>
        <v/>
      </c>
      <c r="DA49" s="567">
        <f>IF(AND(Projects!$C$43&lt;=DA$4,DA$4&lt;=Projects!$C$43+Projects!$D$43-1),Projects!$B$43/Projects!$D$43,"")</f>
        <v/>
      </c>
      <c r="DB49" s="567">
        <f>IF(AND(Projects!$C$43&lt;=DB$4,DB$4&lt;=Projects!$C$43+Projects!$D$43-1),Projects!$B$43/Projects!$D$43,"")</f>
        <v/>
      </c>
    </row>
    <row r="50" ht="15" customFormat="1" customHeight="1" s="380">
      <c r="A50" s="563" t="inlineStr">
        <is>
          <t>BD-28</t>
        </is>
      </c>
      <c r="B50" s="564">
        <f>Projects!$B$44</f>
        <v/>
      </c>
      <c r="C50" s="565">
        <f>EDATE(Model!$E$2,Projects!$C$44-1)</f>
        <v/>
      </c>
      <c r="D50" s="565">
        <f>EDATE(Model!$E$2,Projects!$C$44+Projects!$D$44-2)</f>
        <v/>
      </c>
      <c r="E50" s="566">
        <f>Projects!$D$44</f>
        <v/>
      </c>
      <c r="F50" s="564">
        <f>Projects!$B$44/Projects!$D$44</f>
        <v/>
      </c>
      <c r="G50" s="567">
        <f>IF(AND(Projects!$C$44&lt;=G$4,G$4&lt;=Projects!$C$44+Projects!$D$44-1),Projects!$B$44/Projects!$D$44,"")</f>
        <v/>
      </c>
      <c r="H50" s="567">
        <f>IF(AND(Projects!$C$44&lt;=H$4,H$4&lt;=Projects!$C$44+Projects!$D$44-1),Projects!$B$44/Projects!$D$44,"")</f>
        <v/>
      </c>
      <c r="I50" s="567">
        <f>IF(AND(Projects!$C$44&lt;=I$4,I$4&lt;=Projects!$C$44+Projects!$D$44-1),Projects!$B$44/Projects!$D$44,"")</f>
        <v/>
      </c>
      <c r="J50" s="567">
        <f>IF(AND(Projects!$C$44&lt;=J$4,J$4&lt;=Projects!$C$44+Projects!$D$44-1),Projects!$B$44/Projects!$D$44,"")</f>
        <v/>
      </c>
      <c r="K50" s="567">
        <f>IF(AND(Projects!$C$44&lt;=K$4,K$4&lt;=Projects!$C$44+Projects!$D$44-1),Projects!$B$44/Projects!$D$44,"")</f>
        <v/>
      </c>
      <c r="L50" s="567">
        <f>IF(AND(Projects!$C$44&lt;=L$4,L$4&lt;=Projects!$C$44+Projects!$D$44-1),Projects!$B$44/Projects!$D$44,"")</f>
        <v/>
      </c>
      <c r="M50" s="567">
        <f>IF(AND(Projects!$C$44&lt;=M$4,M$4&lt;=Projects!$C$44+Projects!$D$44-1),Projects!$B$44/Projects!$D$44,"")</f>
        <v/>
      </c>
      <c r="N50" s="567">
        <f>IF(AND(Projects!$C$44&lt;=N$4,N$4&lt;=Projects!$C$44+Projects!$D$44-1),Projects!$B$44/Projects!$D$44,"")</f>
        <v/>
      </c>
      <c r="O50" s="567">
        <f>IF(AND(Projects!$C$44&lt;=O$4,O$4&lt;=Projects!$C$44+Projects!$D$44-1),Projects!$B$44/Projects!$D$44,"")</f>
        <v/>
      </c>
      <c r="P50" s="567">
        <f>IF(AND(Projects!$C$44&lt;=P$4,P$4&lt;=Projects!$C$44+Projects!$D$44-1),Projects!$B$44/Projects!$D$44,"")</f>
        <v/>
      </c>
      <c r="Q50" s="567">
        <f>IF(AND(Projects!$C$44&lt;=Q$4,Q$4&lt;=Projects!$C$44+Projects!$D$44-1),Projects!$B$44/Projects!$D$44,"")</f>
        <v/>
      </c>
      <c r="R50" s="567">
        <f>IF(AND(Projects!$C$44&lt;=R$4,R$4&lt;=Projects!$C$44+Projects!$D$44-1),Projects!$B$44/Projects!$D$44,"")</f>
        <v/>
      </c>
      <c r="S50" s="567">
        <f>IF(AND(Projects!$C$44&lt;=S$4,S$4&lt;=Projects!$C$44+Projects!$D$44-1),Projects!$B$44/Projects!$D$44,"")</f>
        <v/>
      </c>
      <c r="T50" s="567">
        <f>IF(AND(Projects!$C$44&lt;=T$4,T$4&lt;=Projects!$C$44+Projects!$D$44-1),Projects!$B$44/Projects!$D$44,"")</f>
        <v/>
      </c>
      <c r="U50" s="567">
        <f>IF(AND(Projects!$C$44&lt;=U$4,U$4&lt;=Projects!$C$44+Projects!$D$44-1),Projects!$B$44/Projects!$D$44,"")</f>
        <v/>
      </c>
      <c r="V50" s="567">
        <f>IF(AND(Projects!$C$44&lt;=V$4,V$4&lt;=Projects!$C$44+Projects!$D$44-1),Projects!$B$44/Projects!$D$44,"")</f>
        <v/>
      </c>
      <c r="W50" s="567">
        <f>IF(AND(Projects!$C$44&lt;=W$4,W$4&lt;=Projects!$C$44+Projects!$D$44-1),Projects!$B$44/Projects!$D$44,"")</f>
        <v/>
      </c>
      <c r="X50" s="567">
        <f>IF(AND(Projects!$C$44&lt;=X$4,X$4&lt;=Projects!$C$44+Projects!$D$44-1),Projects!$B$44/Projects!$D$44,"")</f>
        <v/>
      </c>
      <c r="Y50" s="567">
        <f>IF(AND(Projects!$C$44&lt;=Y$4,Y$4&lt;=Projects!$C$44+Projects!$D$44-1),Projects!$B$44/Projects!$D$44,"")</f>
        <v/>
      </c>
      <c r="Z50" s="567">
        <f>IF(AND(Projects!$C$44&lt;=Z$4,Z$4&lt;=Projects!$C$44+Projects!$D$44-1),Projects!$B$44/Projects!$D$44,"")</f>
        <v/>
      </c>
      <c r="AA50" s="567">
        <f>IF(AND(Projects!$C$44&lt;=AA$4,AA$4&lt;=Projects!$C$44+Projects!$D$44-1),Projects!$B$44/Projects!$D$44,"")</f>
        <v/>
      </c>
      <c r="AB50" s="567">
        <f>IF(AND(Projects!$C$44&lt;=AB$4,AB$4&lt;=Projects!$C$44+Projects!$D$44-1),Projects!$B$44/Projects!$D$44,"")</f>
        <v/>
      </c>
      <c r="AC50" s="567">
        <f>IF(AND(Projects!$C$44&lt;=AC$4,AC$4&lt;=Projects!$C$44+Projects!$D$44-1),Projects!$B$44/Projects!$D$44,"")</f>
        <v/>
      </c>
      <c r="AD50" s="567">
        <f>IF(AND(Projects!$C$44&lt;=AD$4,AD$4&lt;=Projects!$C$44+Projects!$D$44-1),Projects!$B$44/Projects!$D$44,"")</f>
        <v/>
      </c>
      <c r="AE50" s="567">
        <f>IF(AND(Projects!$C$44&lt;=AE$4,AE$4&lt;=Projects!$C$44+Projects!$D$44-1),Projects!$B$44/Projects!$D$44,"")</f>
        <v/>
      </c>
      <c r="AF50" s="567">
        <f>IF(AND(Projects!$C$44&lt;=AF$4,AF$4&lt;=Projects!$C$44+Projects!$D$44-1),Projects!$B$44/Projects!$D$44,"")</f>
        <v/>
      </c>
      <c r="AG50" s="567">
        <f>IF(AND(Projects!$C$44&lt;=AG$4,AG$4&lt;=Projects!$C$44+Projects!$D$44-1),Projects!$B$44/Projects!$D$44,"")</f>
        <v/>
      </c>
      <c r="AH50" s="567">
        <f>IF(AND(Projects!$C$44&lt;=AH$4,AH$4&lt;=Projects!$C$44+Projects!$D$44-1),Projects!$B$44/Projects!$D$44,"")</f>
        <v/>
      </c>
      <c r="AI50" s="567">
        <f>IF(AND(Projects!$C$44&lt;=AI$4,AI$4&lt;=Projects!$C$44+Projects!$D$44-1),Projects!$B$44/Projects!$D$44,"")</f>
        <v/>
      </c>
      <c r="AJ50" s="567">
        <f>IF(AND(Projects!$C$44&lt;=AJ$4,AJ$4&lt;=Projects!$C$44+Projects!$D$44-1),Projects!$B$44/Projects!$D$44,"")</f>
        <v/>
      </c>
      <c r="AK50" s="567">
        <f>IF(AND(Projects!$C$44&lt;=AK$4,AK$4&lt;=Projects!$C$44+Projects!$D$44-1),Projects!$B$44/Projects!$D$44,"")</f>
        <v/>
      </c>
      <c r="AL50" s="567">
        <f>IF(AND(Projects!$C$44&lt;=AL$4,AL$4&lt;=Projects!$C$44+Projects!$D$44-1),Projects!$B$44/Projects!$D$44,"")</f>
        <v/>
      </c>
      <c r="AM50" s="567">
        <f>IF(AND(Projects!$C$44&lt;=AM$4,AM$4&lt;=Projects!$C$44+Projects!$D$44-1),Projects!$B$44/Projects!$D$44,"")</f>
        <v/>
      </c>
      <c r="AN50" s="567">
        <f>IF(AND(Projects!$C$44&lt;=AN$4,AN$4&lt;=Projects!$C$44+Projects!$D$44-1),Projects!$B$44/Projects!$D$44,"")</f>
        <v/>
      </c>
      <c r="AO50" s="567">
        <f>IF(AND(Projects!$C$44&lt;=AO$4,AO$4&lt;=Projects!$C$44+Projects!$D$44-1),Projects!$B$44/Projects!$D$44,"")</f>
        <v/>
      </c>
      <c r="AP50" s="567">
        <f>IF(AND(Projects!$C$44&lt;=AP$4,AP$4&lt;=Projects!$C$44+Projects!$D$44-1),Projects!$B$44/Projects!$D$44,"")</f>
        <v/>
      </c>
      <c r="AQ50" s="567">
        <f>IF(AND(Projects!$C$44&lt;=AQ$4,AQ$4&lt;=Projects!$C$44+Projects!$D$44-1),Projects!$B$44/Projects!$D$44,"")</f>
        <v/>
      </c>
      <c r="AR50" s="567">
        <f>IF(AND(Projects!$C$44&lt;=AR$4,AR$4&lt;=Projects!$C$44+Projects!$D$44-1),Projects!$B$44/Projects!$D$44,"")</f>
        <v/>
      </c>
      <c r="AS50" s="567">
        <f>IF(AND(Projects!$C$44&lt;=AS$4,AS$4&lt;=Projects!$C$44+Projects!$D$44-1),Projects!$B$44/Projects!$D$44,"")</f>
        <v/>
      </c>
      <c r="AT50" s="567">
        <f>IF(AND(Projects!$C$44&lt;=AT$4,AT$4&lt;=Projects!$C$44+Projects!$D$44-1),Projects!$B$44/Projects!$D$44,"")</f>
        <v/>
      </c>
      <c r="AU50" s="567">
        <f>IF(AND(Projects!$C$44&lt;=AU$4,AU$4&lt;=Projects!$C$44+Projects!$D$44-1),Projects!$B$44/Projects!$D$44,"")</f>
        <v/>
      </c>
      <c r="AV50" s="567">
        <f>IF(AND(Projects!$C$44&lt;=AV$4,AV$4&lt;=Projects!$C$44+Projects!$D$44-1),Projects!$B$44/Projects!$D$44,"")</f>
        <v/>
      </c>
      <c r="AW50" s="567">
        <f>IF(AND(Projects!$C$44&lt;=AW$4,AW$4&lt;=Projects!$C$44+Projects!$D$44-1),Projects!$B$44/Projects!$D$44,"")</f>
        <v/>
      </c>
      <c r="AX50" s="567">
        <f>IF(AND(Projects!$C$44&lt;=AX$4,AX$4&lt;=Projects!$C$44+Projects!$D$44-1),Projects!$B$44/Projects!$D$44,"")</f>
        <v/>
      </c>
      <c r="AY50" s="567">
        <f>IF(AND(Projects!$C$44&lt;=AY$4,AY$4&lt;=Projects!$C$44+Projects!$D$44-1),Projects!$B$44/Projects!$D$44,"")</f>
        <v/>
      </c>
      <c r="AZ50" s="567">
        <f>IF(AND(Projects!$C$44&lt;=AZ$4,AZ$4&lt;=Projects!$C$44+Projects!$D$44-1),Projects!$B$44/Projects!$D$44,"")</f>
        <v/>
      </c>
      <c r="BA50" s="567">
        <f>IF(AND(Projects!$C$44&lt;=BA$4,BA$4&lt;=Projects!$C$44+Projects!$D$44-1),Projects!$B$44/Projects!$D$44,"")</f>
        <v/>
      </c>
      <c r="BB50" s="567">
        <f>IF(AND(Projects!$C$44&lt;=BB$4,BB$4&lt;=Projects!$C$44+Projects!$D$44-1),Projects!$B$44/Projects!$D$44,"")</f>
        <v/>
      </c>
      <c r="BC50" s="567">
        <f>IF(AND(Projects!$C$44&lt;=BC$4,BC$4&lt;=Projects!$C$44+Projects!$D$44-1),Projects!$B$44/Projects!$D$44,"")</f>
        <v/>
      </c>
      <c r="BD50" s="567">
        <f>IF(AND(Projects!$C$44&lt;=BD$4,BD$4&lt;=Projects!$C$44+Projects!$D$44-1),Projects!$B$44/Projects!$D$44,"")</f>
        <v/>
      </c>
      <c r="BE50" s="567">
        <f>IF(AND(Projects!$C$44&lt;=BE$4,BE$4&lt;=Projects!$C$44+Projects!$D$44-1),Projects!$B$44/Projects!$D$44,"")</f>
        <v/>
      </c>
      <c r="BF50" s="567">
        <f>IF(AND(Projects!$C$44&lt;=BF$4,BF$4&lt;=Projects!$C$44+Projects!$D$44-1),Projects!$B$44/Projects!$D$44,"")</f>
        <v/>
      </c>
      <c r="BG50" s="567">
        <f>IF(AND(Projects!$C$44&lt;=BG$4,BG$4&lt;=Projects!$C$44+Projects!$D$44-1),Projects!$B$44/Projects!$D$44,"")</f>
        <v/>
      </c>
      <c r="BH50" s="567">
        <f>IF(AND(Projects!$C$44&lt;=BH$4,BH$4&lt;=Projects!$C$44+Projects!$D$44-1),Projects!$B$44/Projects!$D$44,"")</f>
        <v/>
      </c>
      <c r="BI50" s="567">
        <f>IF(AND(Projects!$C$44&lt;=BI$4,BI$4&lt;=Projects!$C$44+Projects!$D$44-1),Projects!$B$44/Projects!$D$44,"")</f>
        <v/>
      </c>
      <c r="BJ50" s="567">
        <f>IF(AND(Projects!$C$44&lt;=BJ$4,BJ$4&lt;=Projects!$C$44+Projects!$D$44-1),Projects!$B$44/Projects!$D$44,"")</f>
        <v/>
      </c>
      <c r="BK50" s="567">
        <f>IF(AND(Projects!$C$44&lt;=BK$4,BK$4&lt;=Projects!$C$44+Projects!$D$44-1),Projects!$B$44/Projects!$D$44,"")</f>
        <v/>
      </c>
      <c r="BL50" s="567">
        <f>IF(AND(Projects!$C$44&lt;=BL$4,BL$4&lt;=Projects!$C$44+Projects!$D$44-1),Projects!$B$44/Projects!$D$44,"")</f>
        <v/>
      </c>
      <c r="BM50" s="567">
        <f>IF(AND(Projects!$C$44&lt;=BM$4,BM$4&lt;=Projects!$C$44+Projects!$D$44-1),Projects!$B$44/Projects!$D$44,"")</f>
        <v/>
      </c>
      <c r="BN50" s="567">
        <f>IF(AND(Projects!$C$44&lt;=BN$4,BN$4&lt;=Projects!$C$44+Projects!$D$44-1),Projects!$B$44/Projects!$D$44,"")</f>
        <v/>
      </c>
      <c r="BO50" s="567">
        <f>IF(AND(Projects!$C$44&lt;=BO$4,BO$4&lt;=Projects!$C$44+Projects!$D$44-1),Projects!$B$44/Projects!$D$44,"")</f>
        <v/>
      </c>
      <c r="BP50" s="567">
        <f>IF(AND(Projects!$C$44&lt;=BP$4,BP$4&lt;=Projects!$C$44+Projects!$D$44-1),Projects!$B$44/Projects!$D$44,"")</f>
        <v/>
      </c>
      <c r="BQ50" s="567">
        <f>IF(AND(Projects!$C$44&lt;=BQ$4,BQ$4&lt;=Projects!$C$44+Projects!$D$44-1),Projects!$B$44/Projects!$D$44,"")</f>
        <v/>
      </c>
      <c r="BR50" s="567">
        <f>IF(AND(Projects!$C$44&lt;=BR$4,BR$4&lt;=Projects!$C$44+Projects!$D$44-1),Projects!$B$44/Projects!$D$44,"")</f>
        <v/>
      </c>
      <c r="BS50" s="567">
        <f>IF(AND(Projects!$C$44&lt;=BS$4,BS$4&lt;=Projects!$C$44+Projects!$D$44-1),Projects!$B$44/Projects!$D$44,"")</f>
        <v/>
      </c>
      <c r="BT50" s="567">
        <f>IF(AND(Projects!$C$44&lt;=BT$4,BT$4&lt;=Projects!$C$44+Projects!$D$44-1),Projects!$B$44/Projects!$D$44,"")</f>
        <v/>
      </c>
      <c r="BU50" s="567">
        <f>IF(AND(Projects!$C$44&lt;=BU$4,BU$4&lt;=Projects!$C$44+Projects!$D$44-1),Projects!$B$44/Projects!$D$44,"")</f>
        <v/>
      </c>
      <c r="BV50" s="567">
        <f>IF(AND(Projects!$C$44&lt;=BV$4,BV$4&lt;=Projects!$C$44+Projects!$D$44-1),Projects!$B$44/Projects!$D$44,"")</f>
        <v/>
      </c>
      <c r="BW50" s="567">
        <f>IF(AND(Projects!$C$44&lt;=BW$4,BW$4&lt;=Projects!$C$44+Projects!$D$44-1),Projects!$B$44/Projects!$D$44,"")</f>
        <v/>
      </c>
      <c r="BX50" s="567">
        <f>IF(AND(Projects!$C$44&lt;=BX$4,BX$4&lt;=Projects!$C$44+Projects!$D$44-1),Projects!$B$44/Projects!$D$44,"")</f>
        <v/>
      </c>
      <c r="BY50" s="567">
        <f>IF(AND(Projects!$C$44&lt;=BY$4,BY$4&lt;=Projects!$C$44+Projects!$D$44-1),Projects!$B$44/Projects!$D$44,"")</f>
        <v/>
      </c>
      <c r="BZ50" s="567">
        <f>IF(AND(Projects!$C$44&lt;=BZ$4,BZ$4&lt;=Projects!$C$44+Projects!$D$44-1),Projects!$B$44/Projects!$D$44,"")</f>
        <v/>
      </c>
      <c r="CA50" s="567">
        <f>IF(AND(Projects!$C$44&lt;=CA$4,CA$4&lt;=Projects!$C$44+Projects!$D$44-1),Projects!$B$44/Projects!$D$44,"")</f>
        <v/>
      </c>
      <c r="CB50" s="567">
        <f>IF(AND(Projects!$C$44&lt;=CB$4,CB$4&lt;=Projects!$C$44+Projects!$D$44-1),Projects!$B$44/Projects!$D$44,"")</f>
        <v/>
      </c>
      <c r="CC50" s="567">
        <f>IF(AND(Projects!$C$44&lt;=CC$4,CC$4&lt;=Projects!$C$44+Projects!$D$44-1),Projects!$B$44/Projects!$D$44,"")</f>
        <v/>
      </c>
      <c r="CD50" s="567">
        <f>IF(AND(Projects!$C$44&lt;=CD$4,CD$4&lt;=Projects!$C$44+Projects!$D$44-1),Projects!$B$44/Projects!$D$44,"")</f>
        <v/>
      </c>
      <c r="CE50" s="567">
        <f>IF(AND(Projects!$C$44&lt;=CE$4,CE$4&lt;=Projects!$C$44+Projects!$D$44-1),Projects!$B$44/Projects!$D$44,"")</f>
        <v/>
      </c>
      <c r="CF50" s="567">
        <f>IF(AND(Projects!$C$44&lt;=CF$4,CF$4&lt;=Projects!$C$44+Projects!$D$44-1),Projects!$B$44/Projects!$D$44,"")</f>
        <v/>
      </c>
      <c r="CG50" s="567">
        <f>IF(AND(Projects!$C$44&lt;=CG$4,CG$4&lt;=Projects!$C$44+Projects!$D$44-1),Projects!$B$44/Projects!$D$44,"")</f>
        <v/>
      </c>
      <c r="CH50" s="567">
        <f>IF(AND(Projects!$C$44&lt;=CH$4,CH$4&lt;=Projects!$C$44+Projects!$D$44-1),Projects!$B$44/Projects!$D$44,"")</f>
        <v/>
      </c>
      <c r="CI50" s="567">
        <f>IF(AND(Projects!$C$44&lt;=CI$4,CI$4&lt;=Projects!$C$44+Projects!$D$44-1),Projects!$B$44/Projects!$D$44,"")</f>
        <v/>
      </c>
      <c r="CJ50" s="567">
        <f>IF(AND(Projects!$C$44&lt;=CJ$4,CJ$4&lt;=Projects!$C$44+Projects!$D$44-1),Projects!$B$44/Projects!$D$44,"")</f>
        <v/>
      </c>
      <c r="CK50" s="567">
        <f>IF(AND(Projects!$C$44&lt;=CK$4,CK$4&lt;=Projects!$C$44+Projects!$D$44-1),Projects!$B$44/Projects!$D$44,"")</f>
        <v/>
      </c>
      <c r="CL50" s="567">
        <f>IF(AND(Projects!$C$44&lt;=CL$4,CL$4&lt;=Projects!$C$44+Projects!$D$44-1),Projects!$B$44/Projects!$D$44,"")</f>
        <v/>
      </c>
      <c r="CM50" s="567">
        <f>IF(AND(Projects!$C$44&lt;=CM$4,CM$4&lt;=Projects!$C$44+Projects!$D$44-1),Projects!$B$44/Projects!$D$44,"")</f>
        <v/>
      </c>
      <c r="CN50" s="567">
        <f>IF(AND(Projects!$C$44&lt;=CN$4,CN$4&lt;=Projects!$C$44+Projects!$D$44-1),Projects!$B$44/Projects!$D$44,"")</f>
        <v/>
      </c>
      <c r="CO50" s="567">
        <f>IF(AND(Projects!$C$44&lt;=CO$4,CO$4&lt;=Projects!$C$44+Projects!$D$44-1),Projects!$B$44/Projects!$D$44,"")</f>
        <v/>
      </c>
      <c r="CP50" s="567">
        <f>IF(AND(Projects!$C$44&lt;=CP$4,CP$4&lt;=Projects!$C$44+Projects!$D$44-1),Projects!$B$44/Projects!$D$44,"")</f>
        <v/>
      </c>
      <c r="CQ50" s="567">
        <f>IF(AND(Projects!$C$44&lt;=CQ$4,CQ$4&lt;=Projects!$C$44+Projects!$D$44-1),Projects!$B$44/Projects!$D$44,"")</f>
        <v/>
      </c>
      <c r="CR50" s="567">
        <f>IF(AND(Projects!$C$44&lt;=CR$4,CR$4&lt;=Projects!$C$44+Projects!$D$44-1),Projects!$B$44/Projects!$D$44,"")</f>
        <v/>
      </c>
      <c r="CS50" s="567">
        <f>IF(AND(Projects!$C$44&lt;=CS$4,CS$4&lt;=Projects!$C$44+Projects!$D$44-1),Projects!$B$44/Projects!$D$44,"")</f>
        <v/>
      </c>
      <c r="CT50" s="567">
        <f>IF(AND(Projects!$C$44&lt;=CT$4,CT$4&lt;=Projects!$C$44+Projects!$D$44-1),Projects!$B$44/Projects!$D$44,"")</f>
        <v/>
      </c>
      <c r="CU50" s="567">
        <f>IF(AND(Projects!$C$44&lt;=CU$4,CU$4&lt;=Projects!$C$44+Projects!$D$44-1),Projects!$B$44/Projects!$D$44,"")</f>
        <v/>
      </c>
      <c r="CV50" s="567">
        <f>IF(AND(Projects!$C$44&lt;=CV$4,CV$4&lt;=Projects!$C$44+Projects!$D$44-1),Projects!$B$44/Projects!$D$44,"")</f>
        <v/>
      </c>
      <c r="CW50" s="567">
        <f>IF(AND(Projects!$C$44&lt;=CW$4,CW$4&lt;=Projects!$C$44+Projects!$D$44-1),Projects!$B$44/Projects!$D$44,"")</f>
        <v/>
      </c>
      <c r="CX50" s="567">
        <f>IF(AND(Projects!$C$44&lt;=CX$4,CX$4&lt;=Projects!$C$44+Projects!$D$44-1),Projects!$B$44/Projects!$D$44,"")</f>
        <v/>
      </c>
      <c r="CY50" s="567">
        <f>IF(AND(Projects!$C$44&lt;=CY$4,CY$4&lt;=Projects!$C$44+Projects!$D$44-1),Projects!$B$44/Projects!$D$44,"")</f>
        <v/>
      </c>
      <c r="CZ50" s="567">
        <f>IF(AND(Projects!$C$44&lt;=CZ$4,CZ$4&lt;=Projects!$C$44+Projects!$D$44-1),Projects!$B$44/Projects!$D$44,"")</f>
        <v/>
      </c>
      <c r="DA50" s="567">
        <f>IF(AND(Projects!$C$44&lt;=DA$4,DA$4&lt;=Projects!$C$44+Projects!$D$44-1),Projects!$B$44/Projects!$D$44,"")</f>
        <v/>
      </c>
      <c r="DB50" s="567">
        <f>IF(AND(Projects!$C$44&lt;=DB$4,DB$4&lt;=Projects!$C$44+Projects!$D$44-1),Projects!$B$44/Projects!$D$44,"")</f>
        <v/>
      </c>
    </row>
    <row r="51" ht="15" customFormat="1" customHeight="1" s="380">
      <c r="A51" s="563" t="inlineStr">
        <is>
          <t>BD-29</t>
        </is>
      </c>
      <c r="B51" s="564">
        <f>Projects!$B$45</f>
        <v/>
      </c>
      <c r="C51" s="565">
        <f>EDATE(Model!$E$2,Projects!$C$45-1)</f>
        <v/>
      </c>
      <c r="D51" s="565">
        <f>EDATE(Model!$E$2,Projects!$C$45+Projects!$D$45-2)</f>
        <v/>
      </c>
      <c r="E51" s="566">
        <f>Projects!$D$45</f>
        <v/>
      </c>
      <c r="F51" s="564">
        <f>Projects!$B$45/Projects!$D$45</f>
        <v/>
      </c>
      <c r="G51" s="567">
        <f>IF(AND(Projects!$C$45&lt;=G$4,G$4&lt;=Projects!$C$45+Projects!$D$45-1),Projects!$B$45/Projects!$D$45,"")</f>
        <v/>
      </c>
      <c r="H51" s="567">
        <f>IF(AND(Projects!$C$45&lt;=H$4,H$4&lt;=Projects!$C$45+Projects!$D$45-1),Projects!$B$45/Projects!$D$45,"")</f>
        <v/>
      </c>
      <c r="I51" s="567">
        <f>IF(AND(Projects!$C$45&lt;=I$4,I$4&lt;=Projects!$C$45+Projects!$D$45-1),Projects!$B$45/Projects!$D$45,"")</f>
        <v/>
      </c>
      <c r="J51" s="567">
        <f>IF(AND(Projects!$C$45&lt;=J$4,J$4&lt;=Projects!$C$45+Projects!$D$45-1),Projects!$B$45/Projects!$D$45,"")</f>
        <v/>
      </c>
      <c r="K51" s="567">
        <f>IF(AND(Projects!$C$45&lt;=K$4,K$4&lt;=Projects!$C$45+Projects!$D$45-1),Projects!$B$45/Projects!$D$45,"")</f>
        <v/>
      </c>
      <c r="L51" s="567">
        <f>IF(AND(Projects!$C$45&lt;=L$4,L$4&lt;=Projects!$C$45+Projects!$D$45-1),Projects!$B$45/Projects!$D$45,"")</f>
        <v/>
      </c>
      <c r="M51" s="567">
        <f>IF(AND(Projects!$C$45&lt;=M$4,M$4&lt;=Projects!$C$45+Projects!$D$45-1),Projects!$B$45/Projects!$D$45,"")</f>
        <v/>
      </c>
      <c r="N51" s="567">
        <f>IF(AND(Projects!$C$45&lt;=N$4,N$4&lt;=Projects!$C$45+Projects!$D$45-1),Projects!$B$45/Projects!$D$45,"")</f>
        <v/>
      </c>
      <c r="O51" s="567">
        <f>IF(AND(Projects!$C$45&lt;=O$4,O$4&lt;=Projects!$C$45+Projects!$D$45-1),Projects!$B$45/Projects!$D$45,"")</f>
        <v/>
      </c>
      <c r="P51" s="567">
        <f>IF(AND(Projects!$C$45&lt;=P$4,P$4&lt;=Projects!$C$45+Projects!$D$45-1),Projects!$B$45/Projects!$D$45,"")</f>
        <v/>
      </c>
      <c r="Q51" s="567">
        <f>IF(AND(Projects!$C$45&lt;=Q$4,Q$4&lt;=Projects!$C$45+Projects!$D$45-1),Projects!$B$45/Projects!$D$45,"")</f>
        <v/>
      </c>
      <c r="R51" s="567">
        <f>IF(AND(Projects!$C$45&lt;=R$4,R$4&lt;=Projects!$C$45+Projects!$D$45-1),Projects!$B$45/Projects!$D$45,"")</f>
        <v/>
      </c>
      <c r="S51" s="567">
        <f>IF(AND(Projects!$C$45&lt;=S$4,S$4&lt;=Projects!$C$45+Projects!$D$45-1),Projects!$B$45/Projects!$D$45,"")</f>
        <v/>
      </c>
      <c r="T51" s="567">
        <f>IF(AND(Projects!$C$45&lt;=T$4,T$4&lt;=Projects!$C$45+Projects!$D$45-1),Projects!$B$45/Projects!$D$45,"")</f>
        <v/>
      </c>
      <c r="U51" s="567">
        <f>IF(AND(Projects!$C$45&lt;=U$4,U$4&lt;=Projects!$C$45+Projects!$D$45-1),Projects!$B$45/Projects!$D$45,"")</f>
        <v/>
      </c>
      <c r="V51" s="567">
        <f>IF(AND(Projects!$C$45&lt;=V$4,V$4&lt;=Projects!$C$45+Projects!$D$45-1),Projects!$B$45/Projects!$D$45,"")</f>
        <v/>
      </c>
      <c r="W51" s="567">
        <f>IF(AND(Projects!$C$45&lt;=W$4,W$4&lt;=Projects!$C$45+Projects!$D$45-1),Projects!$B$45/Projects!$D$45,"")</f>
        <v/>
      </c>
      <c r="X51" s="567">
        <f>IF(AND(Projects!$C$45&lt;=X$4,X$4&lt;=Projects!$C$45+Projects!$D$45-1),Projects!$B$45/Projects!$D$45,"")</f>
        <v/>
      </c>
      <c r="Y51" s="567">
        <f>IF(AND(Projects!$C$45&lt;=Y$4,Y$4&lt;=Projects!$C$45+Projects!$D$45-1),Projects!$B$45/Projects!$D$45,"")</f>
        <v/>
      </c>
      <c r="Z51" s="567">
        <f>IF(AND(Projects!$C$45&lt;=Z$4,Z$4&lt;=Projects!$C$45+Projects!$D$45-1),Projects!$B$45/Projects!$D$45,"")</f>
        <v/>
      </c>
      <c r="AA51" s="567">
        <f>IF(AND(Projects!$C$45&lt;=AA$4,AA$4&lt;=Projects!$C$45+Projects!$D$45-1),Projects!$B$45/Projects!$D$45,"")</f>
        <v/>
      </c>
      <c r="AB51" s="567">
        <f>IF(AND(Projects!$C$45&lt;=AB$4,AB$4&lt;=Projects!$C$45+Projects!$D$45-1),Projects!$B$45/Projects!$D$45,"")</f>
        <v/>
      </c>
      <c r="AC51" s="567">
        <f>IF(AND(Projects!$C$45&lt;=AC$4,AC$4&lt;=Projects!$C$45+Projects!$D$45-1),Projects!$B$45/Projects!$D$45,"")</f>
        <v/>
      </c>
      <c r="AD51" s="567">
        <f>IF(AND(Projects!$C$45&lt;=AD$4,AD$4&lt;=Projects!$C$45+Projects!$D$45-1),Projects!$B$45/Projects!$D$45,"")</f>
        <v/>
      </c>
      <c r="AE51" s="567">
        <f>IF(AND(Projects!$C$45&lt;=AE$4,AE$4&lt;=Projects!$C$45+Projects!$D$45-1),Projects!$B$45/Projects!$D$45,"")</f>
        <v/>
      </c>
      <c r="AF51" s="567">
        <f>IF(AND(Projects!$C$45&lt;=AF$4,AF$4&lt;=Projects!$C$45+Projects!$D$45-1),Projects!$B$45/Projects!$D$45,"")</f>
        <v/>
      </c>
      <c r="AG51" s="567">
        <f>IF(AND(Projects!$C$45&lt;=AG$4,AG$4&lt;=Projects!$C$45+Projects!$D$45-1),Projects!$B$45/Projects!$D$45,"")</f>
        <v/>
      </c>
      <c r="AH51" s="567">
        <f>IF(AND(Projects!$C$45&lt;=AH$4,AH$4&lt;=Projects!$C$45+Projects!$D$45-1),Projects!$B$45/Projects!$D$45,"")</f>
        <v/>
      </c>
      <c r="AI51" s="567">
        <f>IF(AND(Projects!$C$45&lt;=AI$4,AI$4&lt;=Projects!$C$45+Projects!$D$45-1),Projects!$B$45/Projects!$D$45,"")</f>
        <v/>
      </c>
      <c r="AJ51" s="567">
        <f>IF(AND(Projects!$C$45&lt;=AJ$4,AJ$4&lt;=Projects!$C$45+Projects!$D$45-1),Projects!$B$45/Projects!$D$45,"")</f>
        <v/>
      </c>
      <c r="AK51" s="567">
        <f>IF(AND(Projects!$C$45&lt;=AK$4,AK$4&lt;=Projects!$C$45+Projects!$D$45-1),Projects!$B$45/Projects!$D$45,"")</f>
        <v/>
      </c>
      <c r="AL51" s="567">
        <f>IF(AND(Projects!$C$45&lt;=AL$4,AL$4&lt;=Projects!$C$45+Projects!$D$45-1),Projects!$B$45/Projects!$D$45,"")</f>
        <v/>
      </c>
      <c r="AM51" s="567">
        <f>IF(AND(Projects!$C$45&lt;=AM$4,AM$4&lt;=Projects!$C$45+Projects!$D$45-1),Projects!$B$45/Projects!$D$45,"")</f>
        <v/>
      </c>
      <c r="AN51" s="567">
        <f>IF(AND(Projects!$C$45&lt;=AN$4,AN$4&lt;=Projects!$C$45+Projects!$D$45-1),Projects!$B$45/Projects!$D$45,"")</f>
        <v/>
      </c>
      <c r="AO51" s="567">
        <f>IF(AND(Projects!$C$45&lt;=AO$4,AO$4&lt;=Projects!$C$45+Projects!$D$45-1),Projects!$B$45/Projects!$D$45,"")</f>
        <v/>
      </c>
      <c r="AP51" s="567">
        <f>IF(AND(Projects!$C$45&lt;=AP$4,AP$4&lt;=Projects!$C$45+Projects!$D$45-1),Projects!$B$45/Projects!$D$45,"")</f>
        <v/>
      </c>
      <c r="AQ51" s="567">
        <f>IF(AND(Projects!$C$45&lt;=AQ$4,AQ$4&lt;=Projects!$C$45+Projects!$D$45-1),Projects!$B$45/Projects!$D$45,"")</f>
        <v/>
      </c>
      <c r="AR51" s="567">
        <f>IF(AND(Projects!$C$45&lt;=AR$4,AR$4&lt;=Projects!$C$45+Projects!$D$45-1),Projects!$B$45/Projects!$D$45,"")</f>
        <v/>
      </c>
      <c r="AS51" s="567">
        <f>IF(AND(Projects!$C$45&lt;=AS$4,AS$4&lt;=Projects!$C$45+Projects!$D$45-1),Projects!$B$45/Projects!$D$45,"")</f>
        <v/>
      </c>
      <c r="AT51" s="567">
        <f>IF(AND(Projects!$C$45&lt;=AT$4,AT$4&lt;=Projects!$C$45+Projects!$D$45-1),Projects!$B$45/Projects!$D$45,"")</f>
        <v/>
      </c>
      <c r="AU51" s="567">
        <f>IF(AND(Projects!$C$45&lt;=AU$4,AU$4&lt;=Projects!$C$45+Projects!$D$45-1),Projects!$B$45/Projects!$D$45,"")</f>
        <v/>
      </c>
      <c r="AV51" s="567">
        <f>IF(AND(Projects!$C$45&lt;=AV$4,AV$4&lt;=Projects!$C$45+Projects!$D$45-1),Projects!$B$45/Projects!$D$45,"")</f>
        <v/>
      </c>
      <c r="AW51" s="567">
        <f>IF(AND(Projects!$C$45&lt;=AW$4,AW$4&lt;=Projects!$C$45+Projects!$D$45-1),Projects!$B$45/Projects!$D$45,"")</f>
        <v/>
      </c>
      <c r="AX51" s="567">
        <f>IF(AND(Projects!$C$45&lt;=AX$4,AX$4&lt;=Projects!$C$45+Projects!$D$45-1),Projects!$B$45/Projects!$D$45,"")</f>
        <v/>
      </c>
      <c r="AY51" s="567">
        <f>IF(AND(Projects!$C$45&lt;=AY$4,AY$4&lt;=Projects!$C$45+Projects!$D$45-1),Projects!$B$45/Projects!$D$45,"")</f>
        <v/>
      </c>
      <c r="AZ51" s="567">
        <f>IF(AND(Projects!$C$45&lt;=AZ$4,AZ$4&lt;=Projects!$C$45+Projects!$D$45-1),Projects!$B$45/Projects!$D$45,"")</f>
        <v/>
      </c>
      <c r="BA51" s="567">
        <f>IF(AND(Projects!$C$45&lt;=BA$4,BA$4&lt;=Projects!$C$45+Projects!$D$45-1),Projects!$B$45/Projects!$D$45,"")</f>
        <v/>
      </c>
      <c r="BB51" s="567">
        <f>IF(AND(Projects!$C$45&lt;=BB$4,BB$4&lt;=Projects!$C$45+Projects!$D$45-1),Projects!$B$45/Projects!$D$45,"")</f>
        <v/>
      </c>
      <c r="BC51" s="567">
        <f>IF(AND(Projects!$C$45&lt;=BC$4,BC$4&lt;=Projects!$C$45+Projects!$D$45-1),Projects!$B$45/Projects!$D$45,"")</f>
        <v/>
      </c>
      <c r="BD51" s="567">
        <f>IF(AND(Projects!$C$45&lt;=BD$4,BD$4&lt;=Projects!$C$45+Projects!$D$45-1),Projects!$B$45/Projects!$D$45,"")</f>
        <v/>
      </c>
      <c r="BE51" s="567">
        <f>IF(AND(Projects!$C$45&lt;=BE$4,BE$4&lt;=Projects!$C$45+Projects!$D$45-1),Projects!$B$45/Projects!$D$45,"")</f>
        <v/>
      </c>
      <c r="BF51" s="567">
        <f>IF(AND(Projects!$C$45&lt;=BF$4,BF$4&lt;=Projects!$C$45+Projects!$D$45-1),Projects!$B$45/Projects!$D$45,"")</f>
        <v/>
      </c>
      <c r="BG51" s="567">
        <f>IF(AND(Projects!$C$45&lt;=BG$4,BG$4&lt;=Projects!$C$45+Projects!$D$45-1),Projects!$B$45/Projects!$D$45,"")</f>
        <v/>
      </c>
      <c r="BH51" s="567">
        <f>IF(AND(Projects!$C$45&lt;=BH$4,BH$4&lt;=Projects!$C$45+Projects!$D$45-1),Projects!$B$45/Projects!$D$45,"")</f>
        <v/>
      </c>
      <c r="BI51" s="567">
        <f>IF(AND(Projects!$C$45&lt;=BI$4,BI$4&lt;=Projects!$C$45+Projects!$D$45-1),Projects!$B$45/Projects!$D$45,"")</f>
        <v/>
      </c>
      <c r="BJ51" s="567">
        <f>IF(AND(Projects!$C$45&lt;=BJ$4,BJ$4&lt;=Projects!$C$45+Projects!$D$45-1),Projects!$B$45/Projects!$D$45,"")</f>
        <v/>
      </c>
      <c r="BK51" s="567">
        <f>IF(AND(Projects!$C$45&lt;=BK$4,BK$4&lt;=Projects!$C$45+Projects!$D$45-1),Projects!$B$45/Projects!$D$45,"")</f>
        <v/>
      </c>
      <c r="BL51" s="567">
        <f>IF(AND(Projects!$C$45&lt;=BL$4,BL$4&lt;=Projects!$C$45+Projects!$D$45-1),Projects!$B$45/Projects!$D$45,"")</f>
        <v/>
      </c>
      <c r="BM51" s="567">
        <f>IF(AND(Projects!$C$45&lt;=BM$4,BM$4&lt;=Projects!$C$45+Projects!$D$45-1),Projects!$B$45/Projects!$D$45,"")</f>
        <v/>
      </c>
      <c r="BN51" s="567">
        <f>IF(AND(Projects!$C$45&lt;=BN$4,BN$4&lt;=Projects!$C$45+Projects!$D$45-1),Projects!$B$45/Projects!$D$45,"")</f>
        <v/>
      </c>
      <c r="BO51" s="567">
        <f>IF(AND(Projects!$C$45&lt;=BO$4,BO$4&lt;=Projects!$C$45+Projects!$D$45-1),Projects!$B$45/Projects!$D$45,"")</f>
        <v/>
      </c>
      <c r="BP51" s="567">
        <f>IF(AND(Projects!$C$45&lt;=BP$4,BP$4&lt;=Projects!$C$45+Projects!$D$45-1),Projects!$B$45/Projects!$D$45,"")</f>
        <v/>
      </c>
      <c r="BQ51" s="567">
        <f>IF(AND(Projects!$C$45&lt;=BQ$4,BQ$4&lt;=Projects!$C$45+Projects!$D$45-1),Projects!$B$45/Projects!$D$45,"")</f>
        <v/>
      </c>
      <c r="BR51" s="567">
        <f>IF(AND(Projects!$C$45&lt;=BR$4,BR$4&lt;=Projects!$C$45+Projects!$D$45-1),Projects!$B$45/Projects!$D$45,"")</f>
        <v/>
      </c>
      <c r="BS51" s="567">
        <f>IF(AND(Projects!$C$45&lt;=BS$4,BS$4&lt;=Projects!$C$45+Projects!$D$45-1),Projects!$B$45/Projects!$D$45,"")</f>
        <v/>
      </c>
      <c r="BT51" s="567">
        <f>IF(AND(Projects!$C$45&lt;=BT$4,BT$4&lt;=Projects!$C$45+Projects!$D$45-1),Projects!$B$45/Projects!$D$45,"")</f>
        <v/>
      </c>
      <c r="BU51" s="567">
        <f>IF(AND(Projects!$C$45&lt;=BU$4,BU$4&lt;=Projects!$C$45+Projects!$D$45-1),Projects!$B$45/Projects!$D$45,"")</f>
        <v/>
      </c>
      <c r="BV51" s="567">
        <f>IF(AND(Projects!$C$45&lt;=BV$4,BV$4&lt;=Projects!$C$45+Projects!$D$45-1),Projects!$B$45/Projects!$D$45,"")</f>
        <v/>
      </c>
      <c r="BW51" s="567">
        <f>IF(AND(Projects!$C$45&lt;=BW$4,BW$4&lt;=Projects!$C$45+Projects!$D$45-1),Projects!$B$45/Projects!$D$45,"")</f>
        <v/>
      </c>
      <c r="BX51" s="567">
        <f>IF(AND(Projects!$C$45&lt;=BX$4,BX$4&lt;=Projects!$C$45+Projects!$D$45-1),Projects!$B$45/Projects!$D$45,"")</f>
        <v/>
      </c>
      <c r="BY51" s="567">
        <f>IF(AND(Projects!$C$45&lt;=BY$4,BY$4&lt;=Projects!$C$45+Projects!$D$45-1),Projects!$B$45/Projects!$D$45,"")</f>
        <v/>
      </c>
      <c r="BZ51" s="567">
        <f>IF(AND(Projects!$C$45&lt;=BZ$4,BZ$4&lt;=Projects!$C$45+Projects!$D$45-1),Projects!$B$45/Projects!$D$45,"")</f>
        <v/>
      </c>
      <c r="CA51" s="567">
        <f>IF(AND(Projects!$C$45&lt;=CA$4,CA$4&lt;=Projects!$C$45+Projects!$D$45-1),Projects!$B$45/Projects!$D$45,"")</f>
        <v/>
      </c>
      <c r="CB51" s="567">
        <f>IF(AND(Projects!$C$45&lt;=CB$4,CB$4&lt;=Projects!$C$45+Projects!$D$45-1),Projects!$B$45/Projects!$D$45,"")</f>
        <v/>
      </c>
      <c r="CC51" s="567">
        <f>IF(AND(Projects!$C$45&lt;=CC$4,CC$4&lt;=Projects!$C$45+Projects!$D$45-1),Projects!$B$45/Projects!$D$45,"")</f>
        <v/>
      </c>
      <c r="CD51" s="567">
        <f>IF(AND(Projects!$C$45&lt;=CD$4,CD$4&lt;=Projects!$C$45+Projects!$D$45-1),Projects!$B$45/Projects!$D$45,"")</f>
        <v/>
      </c>
      <c r="CE51" s="567">
        <f>IF(AND(Projects!$C$45&lt;=CE$4,CE$4&lt;=Projects!$C$45+Projects!$D$45-1),Projects!$B$45/Projects!$D$45,"")</f>
        <v/>
      </c>
      <c r="CF51" s="567">
        <f>IF(AND(Projects!$C$45&lt;=CF$4,CF$4&lt;=Projects!$C$45+Projects!$D$45-1),Projects!$B$45/Projects!$D$45,"")</f>
        <v/>
      </c>
      <c r="CG51" s="567">
        <f>IF(AND(Projects!$C$45&lt;=CG$4,CG$4&lt;=Projects!$C$45+Projects!$D$45-1),Projects!$B$45/Projects!$D$45,"")</f>
        <v/>
      </c>
      <c r="CH51" s="567">
        <f>IF(AND(Projects!$C$45&lt;=CH$4,CH$4&lt;=Projects!$C$45+Projects!$D$45-1),Projects!$B$45/Projects!$D$45,"")</f>
        <v/>
      </c>
      <c r="CI51" s="567">
        <f>IF(AND(Projects!$C$45&lt;=CI$4,CI$4&lt;=Projects!$C$45+Projects!$D$45-1),Projects!$B$45/Projects!$D$45,"")</f>
        <v/>
      </c>
      <c r="CJ51" s="567">
        <f>IF(AND(Projects!$C$45&lt;=CJ$4,CJ$4&lt;=Projects!$C$45+Projects!$D$45-1),Projects!$B$45/Projects!$D$45,"")</f>
        <v/>
      </c>
      <c r="CK51" s="567">
        <f>IF(AND(Projects!$C$45&lt;=CK$4,CK$4&lt;=Projects!$C$45+Projects!$D$45-1),Projects!$B$45/Projects!$D$45,"")</f>
        <v/>
      </c>
      <c r="CL51" s="567">
        <f>IF(AND(Projects!$C$45&lt;=CL$4,CL$4&lt;=Projects!$C$45+Projects!$D$45-1),Projects!$B$45/Projects!$D$45,"")</f>
        <v/>
      </c>
      <c r="CM51" s="567">
        <f>IF(AND(Projects!$C$45&lt;=CM$4,CM$4&lt;=Projects!$C$45+Projects!$D$45-1),Projects!$B$45/Projects!$D$45,"")</f>
        <v/>
      </c>
      <c r="CN51" s="567">
        <f>IF(AND(Projects!$C$45&lt;=CN$4,CN$4&lt;=Projects!$C$45+Projects!$D$45-1),Projects!$B$45/Projects!$D$45,"")</f>
        <v/>
      </c>
      <c r="CO51" s="567">
        <f>IF(AND(Projects!$C$45&lt;=CO$4,CO$4&lt;=Projects!$C$45+Projects!$D$45-1),Projects!$B$45/Projects!$D$45,"")</f>
        <v/>
      </c>
      <c r="CP51" s="567">
        <f>IF(AND(Projects!$C$45&lt;=CP$4,CP$4&lt;=Projects!$C$45+Projects!$D$45-1),Projects!$B$45/Projects!$D$45,"")</f>
        <v/>
      </c>
      <c r="CQ51" s="567">
        <f>IF(AND(Projects!$C$45&lt;=CQ$4,CQ$4&lt;=Projects!$C$45+Projects!$D$45-1),Projects!$B$45/Projects!$D$45,"")</f>
        <v/>
      </c>
      <c r="CR51" s="567">
        <f>IF(AND(Projects!$C$45&lt;=CR$4,CR$4&lt;=Projects!$C$45+Projects!$D$45-1),Projects!$B$45/Projects!$D$45,"")</f>
        <v/>
      </c>
      <c r="CS51" s="567">
        <f>IF(AND(Projects!$C$45&lt;=CS$4,CS$4&lt;=Projects!$C$45+Projects!$D$45-1),Projects!$B$45/Projects!$D$45,"")</f>
        <v/>
      </c>
      <c r="CT51" s="567">
        <f>IF(AND(Projects!$C$45&lt;=CT$4,CT$4&lt;=Projects!$C$45+Projects!$D$45-1),Projects!$B$45/Projects!$D$45,"")</f>
        <v/>
      </c>
      <c r="CU51" s="567">
        <f>IF(AND(Projects!$C$45&lt;=CU$4,CU$4&lt;=Projects!$C$45+Projects!$D$45-1),Projects!$B$45/Projects!$D$45,"")</f>
        <v/>
      </c>
      <c r="CV51" s="567">
        <f>IF(AND(Projects!$C$45&lt;=CV$4,CV$4&lt;=Projects!$C$45+Projects!$D$45-1),Projects!$B$45/Projects!$D$45,"")</f>
        <v/>
      </c>
      <c r="CW51" s="567">
        <f>IF(AND(Projects!$C$45&lt;=CW$4,CW$4&lt;=Projects!$C$45+Projects!$D$45-1),Projects!$B$45/Projects!$D$45,"")</f>
        <v/>
      </c>
      <c r="CX51" s="567">
        <f>IF(AND(Projects!$C$45&lt;=CX$4,CX$4&lt;=Projects!$C$45+Projects!$D$45-1),Projects!$B$45/Projects!$D$45,"")</f>
        <v/>
      </c>
      <c r="CY51" s="567">
        <f>IF(AND(Projects!$C$45&lt;=CY$4,CY$4&lt;=Projects!$C$45+Projects!$D$45-1),Projects!$B$45/Projects!$D$45,"")</f>
        <v/>
      </c>
      <c r="CZ51" s="567">
        <f>IF(AND(Projects!$C$45&lt;=CZ$4,CZ$4&lt;=Projects!$C$45+Projects!$D$45-1),Projects!$B$45/Projects!$D$45,"")</f>
        <v/>
      </c>
      <c r="DA51" s="567">
        <f>IF(AND(Projects!$C$45&lt;=DA$4,DA$4&lt;=Projects!$C$45+Projects!$D$45-1),Projects!$B$45/Projects!$D$45,"")</f>
        <v/>
      </c>
      <c r="DB51" s="567">
        <f>IF(AND(Projects!$C$45&lt;=DB$4,DB$4&lt;=Projects!$C$45+Projects!$D$45-1),Projects!$B$45/Projects!$D$45,"")</f>
        <v/>
      </c>
    </row>
    <row r="52" ht="15" customFormat="1" customHeight="1" s="380">
      <c r="A52" s="563" t="inlineStr">
        <is>
          <t>BD-30</t>
        </is>
      </c>
      <c r="B52" s="564">
        <f>Projects!$B$46</f>
        <v/>
      </c>
      <c r="C52" s="565">
        <f>EDATE(Model!$E$2,Projects!$C$46-1)</f>
        <v/>
      </c>
      <c r="D52" s="565">
        <f>EDATE(Model!$E$2,Projects!$C$46+Projects!$D$46-2)</f>
        <v/>
      </c>
      <c r="E52" s="566">
        <f>Projects!$D$46</f>
        <v/>
      </c>
      <c r="F52" s="564">
        <f>Projects!$B$46/Projects!$D$46</f>
        <v/>
      </c>
      <c r="G52" s="567">
        <f>IF(AND(Projects!$C$46&lt;=G$4,G$4&lt;=Projects!$C$46+Projects!$D$46-1),Projects!$B$46/Projects!$D$46,"")</f>
        <v/>
      </c>
      <c r="H52" s="567">
        <f>IF(AND(Projects!$C$46&lt;=H$4,H$4&lt;=Projects!$C$46+Projects!$D$46-1),Projects!$B$46/Projects!$D$46,"")</f>
        <v/>
      </c>
      <c r="I52" s="567">
        <f>IF(AND(Projects!$C$46&lt;=I$4,I$4&lt;=Projects!$C$46+Projects!$D$46-1),Projects!$B$46/Projects!$D$46,"")</f>
        <v/>
      </c>
      <c r="J52" s="567">
        <f>IF(AND(Projects!$C$46&lt;=J$4,J$4&lt;=Projects!$C$46+Projects!$D$46-1),Projects!$B$46/Projects!$D$46,"")</f>
        <v/>
      </c>
      <c r="K52" s="567">
        <f>IF(AND(Projects!$C$46&lt;=K$4,K$4&lt;=Projects!$C$46+Projects!$D$46-1),Projects!$B$46/Projects!$D$46,"")</f>
        <v/>
      </c>
      <c r="L52" s="567">
        <f>IF(AND(Projects!$C$46&lt;=L$4,L$4&lt;=Projects!$C$46+Projects!$D$46-1),Projects!$B$46/Projects!$D$46,"")</f>
        <v/>
      </c>
      <c r="M52" s="567">
        <f>IF(AND(Projects!$C$46&lt;=M$4,M$4&lt;=Projects!$C$46+Projects!$D$46-1),Projects!$B$46/Projects!$D$46,"")</f>
        <v/>
      </c>
      <c r="N52" s="567">
        <f>IF(AND(Projects!$C$46&lt;=N$4,N$4&lt;=Projects!$C$46+Projects!$D$46-1),Projects!$B$46/Projects!$D$46,"")</f>
        <v/>
      </c>
      <c r="O52" s="567">
        <f>IF(AND(Projects!$C$46&lt;=O$4,O$4&lt;=Projects!$C$46+Projects!$D$46-1),Projects!$B$46/Projects!$D$46,"")</f>
        <v/>
      </c>
      <c r="P52" s="567">
        <f>IF(AND(Projects!$C$46&lt;=P$4,P$4&lt;=Projects!$C$46+Projects!$D$46-1),Projects!$B$46/Projects!$D$46,"")</f>
        <v/>
      </c>
      <c r="Q52" s="567">
        <f>IF(AND(Projects!$C$46&lt;=Q$4,Q$4&lt;=Projects!$C$46+Projects!$D$46-1),Projects!$B$46/Projects!$D$46,"")</f>
        <v/>
      </c>
      <c r="R52" s="567">
        <f>IF(AND(Projects!$C$46&lt;=R$4,R$4&lt;=Projects!$C$46+Projects!$D$46-1),Projects!$B$46/Projects!$D$46,"")</f>
        <v/>
      </c>
      <c r="S52" s="567">
        <f>IF(AND(Projects!$C$46&lt;=S$4,S$4&lt;=Projects!$C$46+Projects!$D$46-1),Projects!$B$46/Projects!$D$46,"")</f>
        <v/>
      </c>
      <c r="T52" s="567">
        <f>IF(AND(Projects!$C$46&lt;=T$4,T$4&lt;=Projects!$C$46+Projects!$D$46-1),Projects!$B$46/Projects!$D$46,"")</f>
        <v/>
      </c>
      <c r="U52" s="567">
        <f>IF(AND(Projects!$C$46&lt;=U$4,U$4&lt;=Projects!$C$46+Projects!$D$46-1),Projects!$B$46/Projects!$D$46,"")</f>
        <v/>
      </c>
      <c r="V52" s="567">
        <f>IF(AND(Projects!$C$46&lt;=V$4,V$4&lt;=Projects!$C$46+Projects!$D$46-1),Projects!$B$46/Projects!$D$46,"")</f>
        <v/>
      </c>
      <c r="W52" s="567">
        <f>IF(AND(Projects!$C$46&lt;=W$4,W$4&lt;=Projects!$C$46+Projects!$D$46-1),Projects!$B$46/Projects!$D$46,"")</f>
        <v/>
      </c>
      <c r="X52" s="567">
        <f>IF(AND(Projects!$C$46&lt;=X$4,X$4&lt;=Projects!$C$46+Projects!$D$46-1),Projects!$B$46/Projects!$D$46,"")</f>
        <v/>
      </c>
      <c r="Y52" s="567">
        <f>IF(AND(Projects!$C$46&lt;=Y$4,Y$4&lt;=Projects!$C$46+Projects!$D$46-1),Projects!$B$46/Projects!$D$46,"")</f>
        <v/>
      </c>
      <c r="Z52" s="567">
        <f>IF(AND(Projects!$C$46&lt;=Z$4,Z$4&lt;=Projects!$C$46+Projects!$D$46-1),Projects!$B$46/Projects!$D$46,"")</f>
        <v/>
      </c>
      <c r="AA52" s="567">
        <f>IF(AND(Projects!$C$46&lt;=AA$4,AA$4&lt;=Projects!$C$46+Projects!$D$46-1),Projects!$B$46/Projects!$D$46,"")</f>
        <v/>
      </c>
      <c r="AB52" s="567">
        <f>IF(AND(Projects!$C$46&lt;=AB$4,AB$4&lt;=Projects!$C$46+Projects!$D$46-1),Projects!$B$46/Projects!$D$46,"")</f>
        <v/>
      </c>
      <c r="AC52" s="567">
        <f>IF(AND(Projects!$C$46&lt;=AC$4,AC$4&lt;=Projects!$C$46+Projects!$D$46-1),Projects!$B$46/Projects!$D$46,"")</f>
        <v/>
      </c>
      <c r="AD52" s="567">
        <f>IF(AND(Projects!$C$46&lt;=AD$4,AD$4&lt;=Projects!$C$46+Projects!$D$46-1),Projects!$B$46/Projects!$D$46,"")</f>
        <v/>
      </c>
      <c r="AE52" s="567">
        <f>IF(AND(Projects!$C$46&lt;=AE$4,AE$4&lt;=Projects!$C$46+Projects!$D$46-1),Projects!$B$46/Projects!$D$46,"")</f>
        <v/>
      </c>
      <c r="AF52" s="567">
        <f>IF(AND(Projects!$C$46&lt;=AF$4,AF$4&lt;=Projects!$C$46+Projects!$D$46-1),Projects!$B$46/Projects!$D$46,"")</f>
        <v/>
      </c>
      <c r="AG52" s="567">
        <f>IF(AND(Projects!$C$46&lt;=AG$4,AG$4&lt;=Projects!$C$46+Projects!$D$46-1),Projects!$B$46/Projects!$D$46,"")</f>
        <v/>
      </c>
      <c r="AH52" s="567">
        <f>IF(AND(Projects!$C$46&lt;=AH$4,AH$4&lt;=Projects!$C$46+Projects!$D$46-1),Projects!$B$46/Projects!$D$46,"")</f>
        <v/>
      </c>
      <c r="AI52" s="567">
        <f>IF(AND(Projects!$C$46&lt;=AI$4,AI$4&lt;=Projects!$C$46+Projects!$D$46-1),Projects!$B$46/Projects!$D$46,"")</f>
        <v/>
      </c>
      <c r="AJ52" s="567">
        <f>IF(AND(Projects!$C$46&lt;=AJ$4,AJ$4&lt;=Projects!$C$46+Projects!$D$46-1),Projects!$B$46/Projects!$D$46,"")</f>
        <v/>
      </c>
      <c r="AK52" s="567">
        <f>IF(AND(Projects!$C$46&lt;=AK$4,AK$4&lt;=Projects!$C$46+Projects!$D$46-1),Projects!$B$46/Projects!$D$46,"")</f>
        <v/>
      </c>
      <c r="AL52" s="567">
        <f>IF(AND(Projects!$C$46&lt;=AL$4,AL$4&lt;=Projects!$C$46+Projects!$D$46-1),Projects!$B$46/Projects!$D$46,"")</f>
        <v/>
      </c>
      <c r="AM52" s="567">
        <f>IF(AND(Projects!$C$46&lt;=AM$4,AM$4&lt;=Projects!$C$46+Projects!$D$46-1),Projects!$B$46/Projects!$D$46,"")</f>
        <v/>
      </c>
      <c r="AN52" s="567">
        <f>IF(AND(Projects!$C$46&lt;=AN$4,AN$4&lt;=Projects!$C$46+Projects!$D$46-1),Projects!$B$46/Projects!$D$46,"")</f>
        <v/>
      </c>
      <c r="AO52" s="567">
        <f>IF(AND(Projects!$C$46&lt;=AO$4,AO$4&lt;=Projects!$C$46+Projects!$D$46-1),Projects!$B$46/Projects!$D$46,"")</f>
        <v/>
      </c>
      <c r="AP52" s="567">
        <f>IF(AND(Projects!$C$46&lt;=AP$4,AP$4&lt;=Projects!$C$46+Projects!$D$46-1),Projects!$B$46/Projects!$D$46,"")</f>
        <v/>
      </c>
      <c r="AQ52" s="567">
        <f>IF(AND(Projects!$C$46&lt;=AQ$4,AQ$4&lt;=Projects!$C$46+Projects!$D$46-1),Projects!$B$46/Projects!$D$46,"")</f>
        <v/>
      </c>
      <c r="AR52" s="567">
        <f>IF(AND(Projects!$C$46&lt;=AR$4,AR$4&lt;=Projects!$C$46+Projects!$D$46-1),Projects!$B$46/Projects!$D$46,"")</f>
        <v/>
      </c>
      <c r="AS52" s="567">
        <f>IF(AND(Projects!$C$46&lt;=AS$4,AS$4&lt;=Projects!$C$46+Projects!$D$46-1),Projects!$B$46/Projects!$D$46,"")</f>
        <v/>
      </c>
      <c r="AT52" s="567">
        <f>IF(AND(Projects!$C$46&lt;=AT$4,AT$4&lt;=Projects!$C$46+Projects!$D$46-1),Projects!$B$46/Projects!$D$46,"")</f>
        <v/>
      </c>
      <c r="AU52" s="567">
        <f>IF(AND(Projects!$C$46&lt;=AU$4,AU$4&lt;=Projects!$C$46+Projects!$D$46-1),Projects!$B$46/Projects!$D$46,"")</f>
        <v/>
      </c>
      <c r="AV52" s="567">
        <f>IF(AND(Projects!$C$46&lt;=AV$4,AV$4&lt;=Projects!$C$46+Projects!$D$46-1),Projects!$B$46/Projects!$D$46,"")</f>
        <v/>
      </c>
      <c r="AW52" s="567">
        <f>IF(AND(Projects!$C$46&lt;=AW$4,AW$4&lt;=Projects!$C$46+Projects!$D$46-1),Projects!$B$46/Projects!$D$46,"")</f>
        <v/>
      </c>
      <c r="AX52" s="567">
        <f>IF(AND(Projects!$C$46&lt;=AX$4,AX$4&lt;=Projects!$C$46+Projects!$D$46-1),Projects!$B$46/Projects!$D$46,"")</f>
        <v/>
      </c>
      <c r="AY52" s="567">
        <f>IF(AND(Projects!$C$46&lt;=AY$4,AY$4&lt;=Projects!$C$46+Projects!$D$46-1),Projects!$B$46/Projects!$D$46,"")</f>
        <v/>
      </c>
      <c r="AZ52" s="567">
        <f>IF(AND(Projects!$C$46&lt;=AZ$4,AZ$4&lt;=Projects!$C$46+Projects!$D$46-1),Projects!$B$46/Projects!$D$46,"")</f>
        <v/>
      </c>
      <c r="BA52" s="567">
        <f>IF(AND(Projects!$C$46&lt;=BA$4,BA$4&lt;=Projects!$C$46+Projects!$D$46-1),Projects!$B$46/Projects!$D$46,"")</f>
        <v/>
      </c>
      <c r="BB52" s="567">
        <f>IF(AND(Projects!$C$46&lt;=BB$4,BB$4&lt;=Projects!$C$46+Projects!$D$46-1),Projects!$B$46/Projects!$D$46,"")</f>
        <v/>
      </c>
      <c r="BC52" s="567">
        <f>IF(AND(Projects!$C$46&lt;=BC$4,BC$4&lt;=Projects!$C$46+Projects!$D$46-1),Projects!$B$46/Projects!$D$46,"")</f>
        <v/>
      </c>
      <c r="BD52" s="567">
        <f>IF(AND(Projects!$C$46&lt;=BD$4,BD$4&lt;=Projects!$C$46+Projects!$D$46-1),Projects!$B$46/Projects!$D$46,"")</f>
        <v/>
      </c>
      <c r="BE52" s="567">
        <f>IF(AND(Projects!$C$46&lt;=BE$4,BE$4&lt;=Projects!$C$46+Projects!$D$46-1),Projects!$B$46/Projects!$D$46,"")</f>
        <v/>
      </c>
      <c r="BF52" s="567">
        <f>IF(AND(Projects!$C$46&lt;=BF$4,BF$4&lt;=Projects!$C$46+Projects!$D$46-1),Projects!$B$46/Projects!$D$46,"")</f>
        <v/>
      </c>
      <c r="BG52" s="567">
        <f>IF(AND(Projects!$C$46&lt;=BG$4,BG$4&lt;=Projects!$C$46+Projects!$D$46-1),Projects!$B$46/Projects!$D$46,"")</f>
        <v/>
      </c>
      <c r="BH52" s="567">
        <f>IF(AND(Projects!$C$46&lt;=BH$4,BH$4&lt;=Projects!$C$46+Projects!$D$46-1),Projects!$B$46/Projects!$D$46,"")</f>
        <v/>
      </c>
      <c r="BI52" s="567">
        <f>IF(AND(Projects!$C$46&lt;=BI$4,BI$4&lt;=Projects!$C$46+Projects!$D$46-1),Projects!$B$46/Projects!$D$46,"")</f>
        <v/>
      </c>
      <c r="BJ52" s="567">
        <f>IF(AND(Projects!$C$46&lt;=BJ$4,BJ$4&lt;=Projects!$C$46+Projects!$D$46-1),Projects!$B$46/Projects!$D$46,"")</f>
        <v/>
      </c>
      <c r="BK52" s="567">
        <f>IF(AND(Projects!$C$46&lt;=BK$4,BK$4&lt;=Projects!$C$46+Projects!$D$46-1),Projects!$B$46/Projects!$D$46,"")</f>
        <v/>
      </c>
      <c r="BL52" s="567">
        <f>IF(AND(Projects!$C$46&lt;=BL$4,BL$4&lt;=Projects!$C$46+Projects!$D$46-1),Projects!$B$46/Projects!$D$46,"")</f>
        <v/>
      </c>
      <c r="BM52" s="567">
        <f>IF(AND(Projects!$C$46&lt;=BM$4,BM$4&lt;=Projects!$C$46+Projects!$D$46-1),Projects!$B$46/Projects!$D$46,"")</f>
        <v/>
      </c>
      <c r="BN52" s="567">
        <f>IF(AND(Projects!$C$46&lt;=BN$4,BN$4&lt;=Projects!$C$46+Projects!$D$46-1),Projects!$B$46/Projects!$D$46,"")</f>
        <v/>
      </c>
      <c r="BO52" s="567">
        <f>IF(AND(Projects!$C$46&lt;=BO$4,BO$4&lt;=Projects!$C$46+Projects!$D$46-1),Projects!$B$46/Projects!$D$46,"")</f>
        <v/>
      </c>
      <c r="BP52" s="567">
        <f>IF(AND(Projects!$C$46&lt;=BP$4,BP$4&lt;=Projects!$C$46+Projects!$D$46-1),Projects!$B$46/Projects!$D$46,"")</f>
        <v/>
      </c>
      <c r="BQ52" s="567">
        <f>IF(AND(Projects!$C$46&lt;=BQ$4,BQ$4&lt;=Projects!$C$46+Projects!$D$46-1),Projects!$B$46/Projects!$D$46,"")</f>
        <v/>
      </c>
      <c r="BR52" s="567">
        <f>IF(AND(Projects!$C$46&lt;=BR$4,BR$4&lt;=Projects!$C$46+Projects!$D$46-1),Projects!$B$46/Projects!$D$46,"")</f>
        <v/>
      </c>
      <c r="BS52" s="567">
        <f>IF(AND(Projects!$C$46&lt;=BS$4,BS$4&lt;=Projects!$C$46+Projects!$D$46-1),Projects!$B$46/Projects!$D$46,"")</f>
        <v/>
      </c>
      <c r="BT52" s="567">
        <f>IF(AND(Projects!$C$46&lt;=BT$4,BT$4&lt;=Projects!$C$46+Projects!$D$46-1),Projects!$B$46/Projects!$D$46,"")</f>
        <v/>
      </c>
      <c r="BU52" s="567">
        <f>IF(AND(Projects!$C$46&lt;=BU$4,BU$4&lt;=Projects!$C$46+Projects!$D$46-1),Projects!$B$46/Projects!$D$46,"")</f>
        <v/>
      </c>
      <c r="BV52" s="567">
        <f>IF(AND(Projects!$C$46&lt;=BV$4,BV$4&lt;=Projects!$C$46+Projects!$D$46-1),Projects!$B$46/Projects!$D$46,"")</f>
        <v/>
      </c>
      <c r="BW52" s="567">
        <f>IF(AND(Projects!$C$46&lt;=BW$4,BW$4&lt;=Projects!$C$46+Projects!$D$46-1),Projects!$B$46/Projects!$D$46,"")</f>
        <v/>
      </c>
      <c r="BX52" s="567">
        <f>IF(AND(Projects!$C$46&lt;=BX$4,BX$4&lt;=Projects!$C$46+Projects!$D$46-1),Projects!$B$46/Projects!$D$46,"")</f>
        <v/>
      </c>
      <c r="BY52" s="567">
        <f>IF(AND(Projects!$C$46&lt;=BY$4,BY$4&lt;=Projects!$C$46+Projects!$D$46-1),Projects!$B$46/Projects!$D$46,"")</f>
        <v/>
      </c>
      <c r="BZ52" s="567">
        <f>IF(AND(Projects!$C$46&lt;=BZ$4,BZ$4&lt;=Projects!$C$46+Projects!$D$46-1),Projects!$B$46/Projects!$D$46,"")</f>
        <v/>
      </c>
      <c r="CA52" s="567">
        <f>IF(AND(Projects!$C$46&lt;=CA$4,CA$4&lt;=Projects!$C$46+Projects!$D$46-1),Projects!$B$46/Projects!$D$46,"")</f>
        <v/>
      </c>
      <c r="CB52" s="567">
        <f>IF(AND(Projects!$C$46&lt;=CB$4,CB$4&lt;=Projects!$C$46+Projects!$D$46-1),Projects!$B$46/Projects!$D$46,"")</f>
        <v/>
      </c>
      <c r="CC52" s="567">
        <f>IF(AND(Projects!$C$46&lt;=CC$4,CC$4&lt;=Projects!$C$46+Projects!$D$46-1),Projects!$B$46/Projects!$D$46,"")</f>
        <v/>
      </c>
      <c r="CD52" s="567">
        <f>IF(AND(Projects!$C$46&lt;=CD$4,CD$4&lt;=Projects!$C$46+Projects!$D$46-1),Projects!$B$46/Projects!$D$46,"")</f>
        <v/>
      </c>
      <c r="CE52" s="567">
        <f>IF(AND(Projects!$C$46&lt;=CE$4,CE$4&lt;=Projects!$C$46+Projects!$D$46-1),Projects!$B$46/Projects!$D$46,"")</f>
        <v/>
      </c>
      <c r="CF52" s="567">
        <f>IF(AND(Projects!$C$46&lt;=CF$4,CF$4&lt;=Projects!$C$46+Projects!$D$46-1),Projects!$B$46/Projects!$D$46,"")</f>
        <v/>
      </c>
      <c r="CG52" s="567">
        <f>IF(AND(Projects!$C$46&lt;=CG$4,CG$4&lt;=Projects!$C$46+Projects!$D$46-1),Projects!$B$46/Projects!$D$46,"")</f>
        <v/>
      </c>
      <c r="CH52" s="567">
        <f>IF(AND(Projects!$C$46&lt;=CH$4,CH$4&lt;=Projects!$C$46+Projects!$D$46-1),Projects!$B$46/Projects!$D$46,"")</f>
        <v/>
      </c>
      <c r="CI52" s="567">
        <f>IF(AND(Projects!$C$46&lt;=CI$4,CI$4&lt;=Projects!$C$46+Projects!$D$46-1),Projects!$B$46/Projects!$D$46,"")</f>
        <v/>
      </c>
      <c r="CJ52" s="567">
        <f>IF(AND(Projects!$C$46&lt;=CJ$4,CJ$4&lt;=Projects!$C$46+Projects!$D$46-1),Projects!$B$46/Projects!$D$46,"")</f>
        <v/>
      </c>
      <c r="CK52" s="567">
        <f>IF(AND(Projects!$C$46&lt;=CK$4,CK$4&lt;=Projects!$C$46+Projects!$D$46-1),Projects!$B$46/Projects!$D$46,"")</f>
        <v/>
      </c>
      <c r="CL52" s="567">
        <f>IF(AND(Projects!$C$46&lt;=CL$4,CL$4&lt;=Projects!$C$46+Projects!$D$46-1),Projects!$B$46/Projects!$D$46,"")</f>
        <v/>
      </c>
      <c r="CM52" s="567">
        <f>IF(AND(Projects!$C$46&lt;=CM$4,CM$4&lt;=Projects!$C$46+Projects!$D$46-1),Projects!$B$46/Projects!$D$46,"")</f>
        <v/>
      </c>
      <c r="CN52" s="567">
        <f>IF(AND(Projects!$C$46&lt;=CN$4,CN$4&lt;=Projects!$C$46+Projects!$D$46-1),Projects!$B$46/Projects!$D$46,"")</f>
        <v/>
      </c>
      <c r="CO52" s="567">
        <f>IF(AND(Projects!$C$46&lt;=CO$4,CO$4&lt;=Projects!$C$46+Projects!$D$46-1),Projects!$B$46/Projects!$D$46,"")</f>
        <v/>
      </c>
      <c r="CP52" s="567">
        <f>IF(AND(Projects!$C$46&lt;=CP$4,CP$4&lt;=Projects!$C$46+Projects!$D$46-1),Projects!$B$46/Projects!$D$46,"")</f>
        <v/>
      </c>
      <c r="CQ52" s="567">
        <f>IF(AND(Projects!$C$46&lt;=CQ$4,CQ$4&lt;=Projects!$C$46+Projects!$D$46-1),Projects!$B$46/Projects!$D$46,"")</f>
        <v/>
      </c>
      <c r="CR52" s="567">
        <f>IF(AND(Projects!$C$46&lt;=CR$4,CR$4&lt;=Projects!$C$46+Projects!$D$46-1),Projects!$B$46/Projects!$D$46,"")</f>
        <v/>
      </c>
      <c r="CS52" s="567">
        <f>IF(AND(Projects!$C$46&lt;=CS$4,CS$4&lt;=Projects!$C$46+Projects!$D$46-1),Projects!$B$46/Projects!$D$46,"")</f>
        <v/>
      </c>
      <c r="CT52" s="567">
        <f>IF(AND(Projects!$C$46&lt;=CT$4,CT$4&lt;=Projects!$C$46+Projects!$D$46-1),Projects!$B$46/Projects!$D$46,"")</f>
        <v/>
      </c>
      <c r="CU52" s="567">
        <f>IF(AND(Projects!$C$46&lt;=CU$4,CU$4&lt;=Projects!$C$46+Projects!$D$46-1),Projects!$B$46/Projects!$D$46,"")</f>
        <v/>
      </c>
      <c r="CV52" s="567">
        <f>IF(AND(Projects!$C$46&lt;=CV$4,CV$4&lt;=Projects!$C$46+Projects!$D$46-1),Projects!$B$46/Projects!$D$46,"")</f>
        <v/>
      </c>
      <c r="CW52" s="567">
        <f>IF(AND(Projects!$C$46&lt;=CW$4,CW$4&lt;=Projects!$C$46+Projects!$D$46-1),Projects!$B$46/Projects!$D$46,"")</f>
        <v/>
      </c>
      <c r="CX52" s="567">
        <f>IF(AND(Projects!$C$46&lt;=CX$4,CX$4&lt;=Projects!$C$46+Projects!$D$46-1),Projects!$B$46/Projects!$D$46,"")</f>
        <v/>
      </c>
      <c r="CY52" s="567">
        <f>IF(AND(Projects!$C$46&lt;=CY$4,CY$4&lt;=Projects!$C$46+Projects!$D$46-1),Projects!$B$46/Projects!$D$46,"")</f>
        <v/>
      </c>
      <c r="CZ52" s="567">
        <f>IF(AND(Projects!$C$46&lt;=CZ$4,CZ$4&lt;=Projects!$C$46+Projects!$D$46-1),Projects!$B$46/Projects!$D$46,"")</f>
        <v/>
      </c>
      <c r="DA52" s="567">
        <f>IF(AND(Projects!$C$46&lt;=DA$4,DA$4&lt;=Projects!$C$46+Projects!$D$46-1),Projects!$B$46/Projects!$D$46,"")</f>
        <v/>
      </c>
      <c r="DB52" s="567">
        <f>IF(AND(Projects!$C$46&lt;=DB$4,DB$4&lt;=Projects!$C$46+Projects!$D$46-1),Projects!$B$46/Projects!$D$46,"")</f>
        <v/>
      </c>
    </row>
    <row r="53" ht="15" customFormat="1" customHeight="1" s="380">
      <c r="A53" s="473" t="inlineStr">
        <is>
          <t>Pipeline: none (all deals active)</t>
        </is>
      </c>
      <c r="G53" s="568">
        <f>0</f>
        <v/>
      </c>
      <c r="H53" s="568">
        <f>0</f>
        <v/>
      </c>
      <c r="I53" s="568">
        <f>0</f>
        <v/>
      </c>
      <c r="J53" s="568">
        <f>0</f>
        <v/>
      </c>
      <c r="K53" s="568">
        <f>0</f>
        <v/>
      </c>
      <c r="L53" s="568">
        <f>0</f>
        <v/>
      </c>
      <c r="M53" s="568">
        <f>0</f>
        <v/>
      </c>
      <c r="N53" s="568">
        <f>0</f>
        <v/>
      </c>
      <c r="O53" s="568">
        <f>0</f>
        <v/>
      </c>
      <c r="P53" s="568">
        <f>0</f>
        <v/>
      </c>
      <c r="Q53" s="568">
        <f>0</f>
        <v/>
      </c>
      <c r="R53" s="568">
        <f>0</f>
        <v/>
      </c>
      <c r="S53" s="568">
        <f>0</f>
        <v/>
      </c>
      <c r="T53" s="568">
        <f>0</f>
        <v/>
      </c>
      <c r="U53" s="568">
        <f>0</f>
        <v/>
      </c>
      <c r="V53" s="568">
        <f>0</f>
        <v/>
      </c>
      <c r="W53" s="568">
        <f>0</f>
        <v/>
      </c>
      <c r="X53" s="568">
        <f>0</f>
        <v/>
      </c>
      <c r="Y53" s="568">
        <f>0</f>
        <v/>
      </c>
      <c r="Z53" s="568">
        <f>0</f>
        <v/>
      </c>
      <c r="AA53" s="568">
        <f>0</f>
        <v/>
      </c>
      <c r="AB53" s="568">
        <f>0</f>
        <v/>
      </c>
      <c r="AC53" s="568">
        <f>0</f>
        <v/>
      </c>
      <c r="AD53" s="568">
        <f>0</f>
        <v/>
      </c>
      <c r="AE53" s="568">
        <f>0</f>
        <v/>
      </c>
      <c r="AF53" s="568">
        <f>0</f>
        <v/>
      </c>
      <c r="AG53" s="568">
        <f>0</f>
        <v/>
      </c>
      <c r="AH53" s="568">
        <f>0</f>
        <v/>
      </c>
      <c r="AI53" s="568">
        <f>0</f>
        <v/>
      </c>
      <c r="AJ53" s="568">
        <f>0</f>
        <v/>
      </c>
      <c r="AK53" s="568">
        <f>0</f>
        <v/>
      </c>
      <c r="AL53" s="568">
        <f>0</f>
        <v/>
      </c>
      <c r="AM53" s="568">
        <f>0</f>
        <v/>
      </c>
      <c r="AN53" s="568">
        <f>0</f>
        <v/>
      </c>
      <c r="AO53" s="568">
        <f>0</f>
        <v/>
      </c>
      <c r="AP53" s="568">
        <f>0</f>
        <v/>
      </c>
      <c r="AQ53" s="568">
        <f>0</f>
        <v/>
      </c>
      <c r="AR53" s="568">
        <f>0</f>
        <v/>
      </c>
      <c r="AS53" s="568">
        <f>0</f>
        <v/>
      </c>
      <c r="AT53" s="568">
        <f>0</f>
        <v/>
      </c>
      <c r="AU53" s="568">
        <f>0</f>
        <v/>
      </c>
      <c r="AV53" s="568">
        <f>0</f>
        <v/>
      </c>
      <c r="AW53" s="568">
        <f>0</f>
        <v/>
      </c>
      <c r="AX53" s="568">
        <f>0</f>
        <v/>
      </c>
      <c r="AY53" s="568">
        <f>0</f>
        <v/>
      </c>
      <c r="AZ53" s="568">
        <f>0</f>
        <v/>
      </c>
      <c r="BA53" s="568">
        <f>0</f>
        <v/>
      </c>
      <c r="BB53" s="568">
        <f>0</f>
        <v/>
      </c>
      <c r="BC53" s="568">
        <f>0</f>
        <v/>
      </c>
      <c r="BD53" s="568">
        <f>0</f>
        <v/>
      </c>
      <c r="BE53" s="568">
        <f>0</f>
        <v/>
      </c>
      <c r="BF53" s="568">
        <f>0</f>
        <v/>
      </c>
      <c r="BG53" s="568">
        <f>0</f>
        <v/>
      </c>
      <c r="BH53" s="568">
        <f>0</f>
        <v/>
      </c>
      <c r="BI53" s="568">
        <f>0</f>
        <v/>
      </c>
      <c r="BJ53" s="568">
        <f>0</f>
        <v/>
      </c>
      <c r="BK53" s="568">
        <f>0</f>
        <v/>
      </c>
      <c r="BL53" s="568">
        <f>0</f>
        <v/>
      </c>
      <c r="BM53" s="568">
        <f>0</f>
        <v/>
      </c>
      <c r="BN53" s="568">
        <f>0</f>
        <v/>
      </c>
      <c r="BO53" s="568">
        <f>0</f>
        <v/>
      </c>
      <c r="BP53" s="568">
        <f>0</f>
        <v/>
      </c>
      <c r="BQ53" s="568">
        <f>0</f>
        <v/>
      </c>
      <c r="BR53" s="568">
        <f>0</f>
        <v/>
      </c>
      <c r="BS53" s="568">
        <f>0</f>
        <v/>
      </c>
      <c r="BT53" s="568">
        <f>0</f>
        <v/>
      </c>
      <c r="BU53" s="568">
        <f>0</f>
        <v/>
      </c>
      <c r="BV53" s="568">
        <f>0</f>
        <v/>
      </c>
      <c r="BW53" s="568">
        <f>0</f>
        <v/>
      </c>
      <c r="BX53" s="568">
        <f>0</f>
        <v/>
      </c>
      <c r="BY53" s="568">
        <f>0</f>
        <v/>
      </c>
      <c r="BZ53" s="568">
        <f>0</f>
        <v/>
      </c>
      <c r="CA53" s="568">
        <f>0</f>
        <v/>
      </c>
      <c r="CB53" s="568">
        <f>0</f>
        <v/>
      </c>
      <c r="CC53" s="568">
        <f>0</f>
        <v/>
      </c>
      <c r="CD53" s="568">
        <f>0</f>
        <v/>
      </c>
      <c r="CE53" s="568">
        <f>0</f>
        <v/>
      </c>
      <c r="CF53" s="568">
        <f>0</f>
        <v/>
      </c>
      <c r="CG53" s="568">
        <f>0</f>
        <v/>
      </c>
      <c r="CH53" s="568">
        <f>0</f>
        <v/>
      </c>
      <c r="CI53" s="568">
        <f>0</f>
        <v/>
      </c>
      <c r="CJ53" s="568">
        <f>0</f>
        <v/>
      </c>
      <c r="CK53" s="568">
        <f>0</f>
        <v/>
      </c>
      <c r="CL53" s="568">
        <f>0</f>
        <v/>
      </c>
      <c r="CM53" s="568">
        <f>0</f>
        <v/>
      </c>
      <c r="CN53" s="568">
        <f>0</f>
        <v/>
      </c>
      <c r="CO53" s="568">
        <f>0</f>
        <v/>
      </c>
      <c r="CP53" s="568">
        <f>0</f>
        <v/>
      </c>
      <c r="CQ53" s="568">
        <f>0</f>
        <v/>
      </c>
      <c r="CR53" s="568">
        <f>0</f>
        <v/>
      </c>
      <c r="CS53" s="568">
        <f>0</f>
        <v/>
      </c>
      <c r="CT53" s="568">
        <f>0</f>
        <v/>
      </c>
      <c r="CU53" s="568">
        <f>0</f>
        <v/>
      </c>
      <c r="CV53" s="568">
        <f>0</f>
        <v/>
      </c>
      <c r="CW53" s="568">
        <f>0</f>
        <v/>
      </c>
      <c r="CX53" s="568">
        <f>0</f>
        <v/>
      </c>
      <c r="CY53" s="568">
        <f>0</f>
        <v/>
      </c>
      <c r="CZ53" s="568">
        <f>0</f>
        <v/>
      </c>
      <c r="DA53" s="568">
        <f>0</f>
        <v/>
      </c>
      <c r="DB53" s="568">
        <f>0</f>
        <v/>
      </c>
    </row>
    <row r="54" ht="15" customFormat="1" customHeight="1" s="380">
      <c r="A54" s="473" t="inlineStr">
        <is>
          <t>Pipeline: Jobs Active (#)</t>
        </is>
      </c>
      <c r="G54" s="569">
        <f>0</f>
        <v/>
      </c>
      <c r="H54" s="569">
        <f>0</f>
        <v/>
      </c>
      <c r="I54" s="569">
        <f>0</f>
        <v/>
      </c>
      <c r="J54" s="569">
        <f>0</f>
        <v/>
      </c>
      <c r="K54" s="569">
        <f>0</f>
        <v/>
      </c>
      <c r="L54" s="569">
        <f>0</f>
        <v/>
      </c>
      <c r="M54" s="569">
        <f>0</f>
        <v/>
      </c>
      <c r="N54" s="569">
        <f>0</f>
        <v/>
      </c>
      <c r="O54" s="569">
        <f>0</f>
        <v/>
      </c>
      <c r="P54" s="569">
        <f>0</f>
        <v/>
      </c>
      <c r="Q54" s="569">
        <f>0</f>
        <v/>
      </c>
      <c r="R54" s="569">
        <f>0</f>
        <v/>
      </c>
      <c r="S54" s="569">
        <f>0</f>
        <v/>
      </c>
      <c r="T54" s="569">
        <f>0</f>
        <v/>
      </c>
      <c r="U54" s="569">
        <f>0</f>
        <v/>
      </c>
      <c r="V54" s="569">
        <f>0</f>
        <v/>
      </c>
      <c r="W54" s="569">
        <f>0</f>
        <v/>
      </c>
      <c r="X54" s="569">
        <f>0</f>
        <v/>
      </c>
      <c r="Y54" s="569">
        <f>0</f>
        <v/>
      </c>
      <c r="Z54" s="569">
        <f>0</f>
        <v/>
      </c>
      <c r="AA54" s="569">
        <f>0</f>
        <v/>
      </c>
      <c r="AB54" s="569">
        <f>0</f>
        <v/>
      </c>
      <c r="AC54" s="569">
        <f>0</f>
        <v/>
      </c>
      <c r="AD54" s="569">
        <f>0</f>
        <v/>
      </c>
      <c r="AE54" s="569">
        <f>0</f>
        <v/>
      </c>
      <c r="AF54" s="569">
        <f>0</f>
        <v/>
      </c>
      <c r="AG54" s="569">
        <f>0</f>
        <v/>
      </c>
      <c r="AH54" s="569">
        <f>0</f>
        <v/>
      </c>
      <c r="AI54" s="569">
        <f>0</f>
        <v/>
      </c>
      <c r="AJ54" s="569">
        <f>0</f>
        <v/>
      </c>
      <c r="AK54" s="569">
        <f>0</f>
        <v/>
      </c>
      <c r="AL54" s="569">
        <f>0</f>
        <v/>
      </c>
      <c r="AM54" s="569">
        <f>0</f>
        <v/>
      </c>
      <c r="AN54" s="569">
        <f>0</f>
        <v/>
      </c>
      <c r="AO54" s="569">
        <f>0</f>
        <v/>
      </c>
      <c r="AP54" s="569">
        <f>0</f>
        <v/>
      </c>
      <c r="AQ54" s="569">
        <f>0</f>
        <v/>
      </c>
      <c r="AR54" s="569">
        <f>0</f>
        <v/>
      </c>
      <c r="AS54" s="569">
        <f>0</f>
        <v/>
      </c>
      <c r="AT54" s="569">
        <f>0</f>
        <v/>
      </c>
      <c r="AU54" s="569">
        <f>0</f>
        <v/>
      </c>
      <c r="AV54" s="569">
        <f>0</f>
        <v/>
      </c>
      <c r="AW54" s="569">
        <f>0</f>
        <v/>
      </c>
      <c r="AX54" s="569">
        <f>0</f>
        <v/>
      </c>
      <c r="AY54" s="569">
        <f>0</f>
        <v/>
      </c>
      <c r="AZ54" s="569">
        <f>0</f>
        <v/>
      </c>
      <c r="BA54" s="569">
        <f>0</f>
        <v/>
      </c>
      <c r="BB54" s="569">
        <f>0</f>
        <v/>
      </c>
      <c r="BC54" s="569">
        <f>0</f>
        <v/>
      </c>
      <c r="BD54" s="569">
        <f>0</f>
        <v/>
      </c>
      <c r="BE54" s="569">
        <f>0</f>
        <v/>
      </c>
      <c r="BF54" s="569">
        <f>0</f>
        <v/>
      </c>
      <c r="BG54" s="569">
        <f>0</f>
        <v/>
      </c>
      <c r="BH54" s="569">
        <f>0</f>
        <v/>
      </c>
      <c r="BI54" s="569">
        <f>0</f>
        <v/>
      </c>
      <c r="BJ54" s="569">
        <f>0</f>
        <v/>
      </c>
      <c r="BK54" s="569">
        <f>0</f>
        <v/>
      </c>
      <c r="BL54" s="569">
        <f>0</f>
        <v/>
      </c>
      <c r="BM54" s="569">
        <f>0</f>
        <v/>
      </c>
      <c r="BN54" s="569">
        <f>0</f>
        <v/>
      </c>
      <c r="BO54" s="569">
        <f>0</f>
        <v/>
      </c>
      <c r="BP54" s="569">
        <f>0</f>
        <v/>
      </c>
      <c r="BQ54" s="569">
        <f>0</f>
        <v/>
      </c>
      <c r="BR54" s="569">
        <f>0</f>
        <v/>
      </c>
      <c r="BS54" s="569">
        <f>0</f>
        <v/>
      </c>
      <c r="BT54" s="569">
        <f>0</f>
        <v/>
      </c>
      <c r="BU54" s="569">
        <f>0</f>
        <v/>
      </c>
      <c r="BV54" s="569">
        <f>0</f>
        <v/>
      </c>
      <c r="BW54" s="569">
        <f>0</f>
        <v/>
      </c>
      <c r="BX54" s="569">
        <f>0</f>
        <v/>
      </c>
      <c r="BY54" s="569">
        <f>0</f>
        <v/>
      </c>
      <c r="BZ54" s="569">
        <f>0</f>
        <v/>
      </c>
      <c r="CA54" s="569">
        <f>0</f>
        <v/>
      </c>
      <c r="CB54" s="569">
        <f>0</f>
        <v/>
      </c>
      <c r="CC54" s="569">
        <f>0</f>
        <v/>
      </c>
      <c r="CD54" s="569">
        <f>0</f>
        <v/>
      </c>
      <c r="CE54" s="569">
        <f>0</f>
        <v/>
      </c>
      <c r="CF54" s="569">
        <f>0</f>
        <v/>
      </c>
      <c r="CG54" s="569">
        <f>0</f>
        <v/>
      </c>
      <c r="CH54" s="569">
        <f>0</f>
        <v/>
      </c>
      <c r="CI54" s="569">
        <f>0</f>
        <v/>
      </c>
      <c r="CJ54" s="569">
        <f>0</f>
        <v/>
      </c>
      <c r="CK54" s="569">
        <f>0</f>
        <v/>
      </c>
      <c r="CL54" s="569">
        <f>0</f>
        <v/>
      </c>
      <c r="CM54" s="569">
        <f>0</f>
        <v/>
      </c>
      <c r="CN54" s="569">
        <f>0</f>
        <v/>
      </c>
      <c r="CO54" s="569">
        <f>0</f>
        <v/>
      </c>
      <c r="CP54" s="569">
        <f>0</f>
        <v/>
      </c>
      <c r="CQ54" s="569">
        <f>0</f>
        <v/>
      </c>
      <c r="CR54" s="569">
        <f>0</f>
        <v/>
      </c>
      <c r="CS54" s="569">
        <f>0</f>
        <v/>
      </c>
      <c r="CT54" s="569">
        <f>0</f>
        <v/>
      </c>
      <c r="CU54" s="569">
        <f>0</f>
        <v/>
      </c>
      <c r="CV54" s="569">
        <f>0</f>
        <v/>
      </c>
      <c r="CW54" s="569">
        <f>0</f>
        <v/>
      </c>
      <c r="CX54" s="569">
        <f>0</f>
        <v/>
      </c>
      <c r="CY54" s="569">
        <f>0</f>
        <v/>
      </c>
      <c r="CZ54" s="569">
        <f>0</f>
        <v/>
      </c>
      <c r="DA54" s="569">
        <f>0</f>
        <v/>
      </c>
      <c r="DB54" s="569">
        <f>0</f>
        <v/>
      </c>
    </row>
    <row r="56" ht="15" customFormat="1" customHeight="1" s="380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Format="1" customHeight="1" s="380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Format="1" customHeight="1" s="380">
      <c r="A59" s="473" t="inlineStr">
        <is>
          <t>Monthly Overhead ($) — INPUT</t>
        </is>
      </c>
      <c r="F59" s="574" t="n">
        <v>0</v>
      </c>
    </row>
    <row r="60" ht="15" customFormat="1" customHeight="1" s="380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Format="1" customHeight="1" s="380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410" min="1" max="1"/>
    <col width="26" customWidth="1" style="410" min="2" max="2"/>
    <col width="14" customWidth="1" style="410" min="3" max="3"/>
    <col width="14" customWidth="1" style="410" min="4" max="4"/>
    <col width="12" customWidth="1" style="410" min="5" max="5"/>
    <col width="10" customWidth="1" style="410" min="6" max="6"/>
    <col width="9" customWidth="1" style="410" min="7" max="7"/>
    <col width="11" customWidth="1" style="410" min="8" max="8"/>
    <col width="12" customWidth="1" style="410" min="9" max="9"/>
    <col width="13" customWidth="1" style="410" min="10" max="10"/>
    <col width="12" customWidth="1" style="410" min="11" max="11"/>
    <col width="22" customWidth="1" style="410" min="12" max="12"/>
    <col width="20" customWidth="1" style="410" min="13" max="13"/>
    <col width="42" customWidth="1" style="410" min="14" max="14"/>
    <col width="12" customWidth="1" style="410" min="15" max="15"/>
    <col width="11" customWidth="1" style="410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40" customWidth="1" style="380" min="1" max="1"/>
    <col width="27" customWidth="1" style="380" min="2" max="86"/>
  </cols>
  <sheetData>
    <row r="1" ht="15" customFormat="1" customHeight="1" s="380">
      <c r="A1" s="476" t="inlineStr">
        <is>
          <t>Uplifters Foundation — Development Fee Program</t>
        </is>
      </c>
    </row>
    <row r="2" ht="15" customFormat="1" customHeight="1" s="380">
      <c r="A2" s="468" t="inlineStr">
        <is>
          <t>Active</t>
        </is>
      </c>
      <c r="B2" s="476" t="inlineStr">
        <is>
          <t>Yes</t>
        </is>
      </c>
    </row>
    <row r="4" ht="15" customFormat="1" customHeight="1" s="380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Format="1" customHeight="1" s="380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Format="1" customHeight="1" s="380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Format="1" customHeight="1" s="380">
      <c r="A7" s="468" t="inlineStr">
        <is>
          <t>Total Properties</t>
        </is>
      </c>
      <c r="B7" s="594" t="n">
        <v>60</v>
      </c>
    </row>
    <row r="8" ht="15" customFormat="1" customHeight="1" s="380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Format="1" customHeight="1" s="380">
      <c r="A9" s="468" t="inlineStr">
        <is>
          <t>Avg Lot Price</t>
        </is>
      </c>
      <c r="B9" s="595" t="n">
        <v>1400000</v>
      </c>
    </row>
    <row r="10" ht="15" customFormat="1" customHeight="1" s="380">
      <c r="A10" s="468" t="inlineStr">
        <is>
          <t>Avg Construction Cost</t>
        </is>
      </c>
      <c r="B10" s="595" t="n">
        <v>1609391</v>
      </c>
    </row>
    <row r="11" ht="15" customFormat="1" customHeight="1" s="380">
      <c r="A11" s="468" t="inlineStr">
        <is>
          <t>Avg Sale Price</t>
        </is>
      </c>
      <c r="B11" s="595" t="n">
        <v>3419763</v>
      </c>
    </row>
    <row r="12" ht="15" customFormat="1" customHeight="1" s="380">
      <c r="A12" s="468" t="inlineStr">
        <is>
          <t>Total Fee Revenue</t>
        </is>
      </c>
      <c r="B12" s="596">
        <f>B16</f>
        <v/>
      </c>
    </row>
    <row r="14" ht="15" customFormat="1" customHeight="1" s="380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Format="1" customHeight="1" s="380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Format="1" customHeight="1" s="380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Format="1" customHeight="1" s="380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Format="1" customHeight="1" s="380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Format="1" customHeight="1" s="380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Format="1" customHeight="1" s="380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Format="1" customHeight="1" s="380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Format="1" customHeight="1" s="380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Format="1" customHeight="1" s="380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Format="1" customHeight="1" s="380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Format="1" customHeight="1" s="380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Format="1" customHeight="1" s="380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Format="1" customHeight="1" s="380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Format="1" customHeight="1" s="380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Format="1" customHeight="1" s="380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Format="1" customHeight="1" s="380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Format="1" customHeight="1" s="380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Format="1" customHeight="1" s="380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Format="1" customHeight="1" s="380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Format="1" customHeight="1" s="380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Format="1" customHeight="1" s="380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Format="1" customHeight="1" s="380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Format="1" customHeight="1" s="380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Format="1" customHeight="1" s="380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Format="1" customHeight="1" s="380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Format="1" customHeight="1" s="380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Format="1" customHeight="1" s="380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Format="1" customHeight="1" s="380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Format="1" customHeight="1" s="380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Format="1" customHeight="1" s="380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Format="1" customHeight="1" s="380">
      <c r="A48" s="612" t="inlineStr">
        <is>
          <t>Total Staffing Cost</t>
        </is>
      </c>
      <c r="G48" s="613">
        <f>SUM(G44:G47)</f>
        <v/>
      </c>
    </row>
    <row r="50" ht="15" customFormat="1" customHeight="1" s="380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Format="1" customHeight="1" s="380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Format="1" customHeight="1" s="380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Format="1" customHeight="1" s="380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Format="1" customHeight="1" s="380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Format="1" customHeight="1" s="380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Format="1" customHeight="1" s="380">
      <c r="A56" s="615" t="inlineStr">
        <is>
          <t>Total Other OpEx</t>
        </is>
      </c>
      <c r="E56" s="616" t="n">
        <v>456000</v>
      </c>
    </row>
    <row r="57" ht="15" customFormat="1" customHeight="1" s="380">
      <c r="A57" s="617" t="inlineStr">
        <is>
          <t>Note: Legal ($25K/project) is a deal cost in closing, not in P&amp;L</t>
        </is>
      </c>
    </row>
    <row r="59" ht="15" customFormat="1" customHeight="1" s="380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Format="1" customHeight="1" s="380">
      <c r="A60" s="468" t="inlineStr">
        <is>
          <t>Total Fee Revenue (60 properties)</t>
        </is>
      </c>
      <c r="B60" s="595">
        <f>B16</f>
        <v/>
      </c>
    </row>
    <row r="61" ht="15" customFormat="1" customHeight="1" s="380">
      <c r="A61" s="468" t="inlineStr">
        <is>
          <t>Staffing Cost</t>
        </is>
      </c>
      <c r="B61" s="595">
        <f>B17</f>
        <v/>
      </c>
    </row>
    <row r="62" ht="15" customFormat="1" customHeight="1" s="380">
      <c r="A62" s="468" t="inlineStr">
        <is>
          <t>Other OpEx</t>
        </is>
      </c>
      <c r="B62" s="595">
        <f>B18</f>
        <v/>
      </c>
    </row>
    <row r="63" ht="15" customFormat="1" customHeight="1" s="380">
      <c r="A63" s="604" t="inlineStr">
        <is>
          <t>Net Fee Income</t>
        </is>
      </c>
      <c r="B63" s="607">
        <f>B60+B61+B62</f>
        <v/>
      </c>
    </row>
    <row r="64" ht="15" customFormat="1" customHeight="1" s="380">
      <c r="A64" s="468" t="inlineStr">
        <is>
          <t>SP Overhead (10% Revenue, max $150K/yr)</t>
        </is>
      </c>
      <c r="B64" s="595">
        <f>-B20</f>
        <v/>
      </c>
    </row>
    <row r="65" ht="15" customFormat="1" customHeight="1" s="380">
      <c r="A65" s="604" t="inlineStr">
        <is>
          <t>Net Before Profit Share</t>
        </is>
      </c>
      <c r="B65" s="607">
        <f>B63+B64</f>
        <v/>
      </c>
    </row>
    <row r="66" ht="15" customFormat="1" customHeight="1" s="380">
      <c r="A66" s="468" t="inlineStr">
        <is>
          <t>Schuyler Profit Share (40/45/50% tiered)</t>
        </is>
      </c>
      <c r="B66" s="595">
        <f>-B22</f>
        <v/>
      </c>
    </row>
    <row r="67" ht="15" customFormat="1" customHeight="1" s="380">
      <c r="A67" s="604" t="inlineStr">
        <is>
          <t>NI After Profit Share (to Six Peak)</t>
        </is>
      </c>
      <c r="B67" s="607">
        <f>B65+B66</f>
        <v/>
      </c>
    </row>
    <row r="68" ht="15" customFormat="1" customHeight="1" s="380">
      <c r="A68" s="468" t="inlineStr">
        <is>
          <t>SP Overhead Fee (to Six Peak)</t>
        </is>
      </c>
      <c r="B68" s="595">
        <f>B20</f>
        <v/>
      </c>
    </row>
    <row r="69" ht="15" customFormat="1" customHeight="1" s="380">
      <c r="A69" s="604" t="inlineStr">
        <is>
          <t>Total to Six Peak</t>
        </is>
      </c>
      <c r="B69" s="607">
        <f>B67+B68</f>
        <v/>
      </c>
    </row>
    <row r="71" ht="15" customFormat="1" customHeight="1" s="380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Format="1" customHeight="1" s="380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Format="1" customHeight="1" s="380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Format="1" customHeight="1" s="380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Format="1" customHeight="1" s="380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Format="1" customHeight="1" s="380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Format="1" customHeight="1" s="380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Format="1" customHeight="1" s="380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Format="1" customHeight="1" s="380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Format="1" customHeight="1" s="380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Format="1" customHeight="1" s="380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Format="1" customHeight="1" s="380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Format="1" customHeight="1" s="380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Format="1" customHeight="1" s="380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Format="1" customHeight="1" s="380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Format="1" customHeight="1" s="380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Format="1" customHeight="1" s="380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Format="1" customHeight="1" s="380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Format="1" customHeight="1" s="380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Format="1" customHeight="1" s="380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Format="1" customHeight="1" s="380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Format="1" customHeight="1" s="380">
      <c r="A94" s="468" t="inlineStr">
        <is>
          <t>SP Overhead Rate</t>
        </is>
      </c>
      <c r="B94" s="621" t="n">
        <v>0.1</v>
      </c>
    </row>
    <row r="95" ht="15" customFormat="1" customHeight="1" s="380">
      <c r="A95" s="468" t="inlineStr">
        <is>
          <t>SP Overhead Annual Cap</t>
        </is>
      </c>
      <c r="B95" s="621" t="n">
        <v>150000</v>
      </c>
    </row>
    <row r="96" ht="15" customFormat="1" customHeight="1" s="380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Format="1" customHeight="1" s="380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Format="1" customHeight="1" s="380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Format="1" customHeight="1" s="380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Format="1" customHeight="1" s="380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Format="1" customHeight="1" s="380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Format="1" customHeight="1" s="380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Format="1" customHeight="1" s="380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Format="1" customHeight="1" s="380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Format="1" customHeight="1" s="380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Format="1" customHeight="1" s="380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Format="1" customHeight="1" s="380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410">
      <c r="A112" s="380" t="inlineStr">
        <is>
          <t>TREATMENT: Schuyler Dietz is engaged as a CONSULTANT. His 40/45/50% tiered participation is a</t>
        </is>
      </c>
    </row>
    <row r="113" ht="15" customHeight="1" s="410">
      <c r="A113" s="380" t="inlineStr">
        <is>
          <t xml:space="preserve">   PROFIT SHARE on program net income, not an employee bonus. It is not W2 payroll and carries no</t>
        </is>
      </c>
    </row>
    <row r="114" ht="15" customHeight="1" s="410">
      <c r="A114" s="380" t="inlineStr">
        <is>
          <t xml:space="preserve">   payroll burden. Personnel row 39 already flags him Consult% = 1, so he is excluded from the W2</t>
        </is>
      </c>
    </row>
    <row r="115" ht="15" customHeight="1" s="410">
      <c r="A115" s="380" t="inlineStr">
        <is>
          <t xml:space="preserve">   basis (Helpers r4 / Model r111) and expensed via Model r186, 5500-1004 Consultants and Other</t>
        </is>
      </c>
    </row>
    <row r="116" ht="15" customHeight="1" s="410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28" customWidth="1" style="380" min="1" max="1"/>
    <col width="14" customWidth="1" style="380" min="2" max="86"/>
  </cols>
  <sheetData>
    <row r="1" ht="17.25" customFormat="1" customHeight="1" s="380">
      <c r="A1" s="381" t="inlineStr">
        <is>
          <t>Six Peak Capital - GC + Developer Deal Profitability (Net of Steyn Fees)</t>
        </is>
      </c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</row>
    <row r="3" ht="15" customFormat="1" customHeight="1" s="380">
      <c r="A3" s="402" t="inlineStr">
        <is>
          <t>Crenshaw</t>
        </is>
      </c>
      <c r="B3" s="402" t="n"/>
      <c r="C3" s="402" t="n"/>
      <c r="D3" s="402" t="n"/>
      <c r="E3" s="402" t="n"/>
      <c r="F3" s="402" t="n"/>
      <c r="G3" s="402" t="n"/>
      <c r="H3" s="402" t="n"/>
      <c r="I3" s="402" t="n"/>
      <c r="J3" s="402" t="n"/>
      <c r="K3" s="402" t="n"/>
      <c r="L3" s="402" t="n"/>
      <c r="M3" s="402" t="n"/>
      <c r="N3" s="402" t="n"/>
      <c r="O3" s="402" t="n"/>
      <c r="P3" s="402" t="n"/>
      <c r="Q3" s="402" t="n"/>
      <c r="R3" s="402" t="n"/>
      <c r="S3" s="402" t="n"/>
      <c r="T3" s="402" t="n"/>
      <c r="U3" s="402" t="n"/>
      <c r="V3" s="402" t="n"/>
      <c r="W3" s="402" t="n"/>
      <c r="X3" s="402" t="n"/>
      <c r="Y3" s="402" t="n"/>
      <c r="Z3" s="402" t="n"/>
      <c r="AA3" s="402" t="n"/>
      <c r="AB3" s="402" t="n"/>
      <c r="AC3" s="402" t="n"/>
      <c r="AD3" s="402" t="n"/>
      <c r="AE3" s="402" t="n"/>
      <c r="AF3" s="402" t="n"/>
      <c r="AG3" s="402" t="n"/>
      <c r="AH3" s="402" t="n"/>
      <c r="AI3" s="402" t="n"/>
      <c r="AJ3" s="402" t="n"/>
      <c r="AK3" s="402" t="n"/>
      <c r="AL3" s="402" t="n"/>
      <c r="AM3" s="402" t="n"/>
      <c r="AN3" s="402" t="n"/>
      <c r="AO3" s="402" t="n"/>
      <c r="AP3" s="402" t="n"/>
      <c r="AQ3" s="402" t="n"/>
      <c r="AR3" s="402" t="n"/>
      <c r="AS3" s="402" t="n"/>
      <c r="AT3" s="402" t="n"/>
      <c r="AU3" s="402" t="n"/>
      <c r="AV3" s="402" t="n"/>
      <c r="AW3" s="402" t="n"/>
      <c r="AX3" s="402" t="n"/>
      <c r="AY3" s="402" t="n"/>
      <c r="AZ3" s="402" t="n"/>
      <c r="BA3" s="402" t="n"/>
      <c r="BB3" s="402" t="n"/>
      <c r="BC3" s="402" t="n"/>
      <c r="BD3" s="402" t="n"/>
      <c r="BE3" s="402" t="n"/>
      <c r="BF3" s="402" t="n"/>
      <c r="BG3" s="402" t="n"/>
      <c r="BH3" s="402" t="n"/>
      <c r="BI3" s="402" t="n"/>
      <c r="BJ3" s="402" t="n"/>
      <c r="BK3" s="402" t="n"/>
      <c r="BL3" s="402" t="n"/>
      <c r="BM3" s="402" t="n"/>
      <c r="BN3" s="402" t="n"/>
      <c r="BO3" s="402" t="n"/>
      <c r="BP3" s="402" t="n"/>
      <c r="BQ3" s="402" t="n"/>
      <c r="BR3" s="402" t="n"/>
      <c r="BS3" s="402" t="n"/>
      <c r="BT3" s="402" t="n"/>
      <c r="BU3" s="402" t="n"/>
      <c r="BV3" s="402" t="n"/>
      <c r="BW3" s="402" t="n"/>
      <c r="BX3" s="402" t="n"/>
      <c r="BY3" s="402" t="n"/>
      <c r="BZ3" s="402" t="n"/>
      <c r="CA3" s="402" t="n"/>
      <c r="CB3" s="402" t="n"/>
      <c r="CC3" s="402" t="n"/>
      <c r="CD3" s="402" t="n"/>
      <c r="CE3" s="402" t="n"/>
      <c r="CF3" s="402" t="n"/>
      <c r="CG3" s="402" t="n"/>
      <c r="CH3" s="402" t="n"/>
    </row>
    <row r="4" ht="15" customFormat="1" customHeight="1" s="380">
      <c r="A4" s="458" t="inlineStr">
        <is>
          <t xml:space="preserve">  Revenue</t>
        </is>
      </c>
      <c r="B4" s="382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Format="1" customHeight="1" s="380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Format="1" customHeight="1" s="380">
      <c r="A6" s="381" t="inlineStr">
        <is>
          <t xml:space="preserve">  Cumulative Net</t>
        </is>
      </c>
      <c r="B6" s="382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Format="1" customHeight="1" s="380">
      <c r="A7" s="382" t="n"/>
      <c r="B7" s="382" t="n"/>
      <c r="C7" s="382" t="n"/>
      <c r="D7" s="382" t="n"/>
      <c r="E7" s="382" t="n"/>
      <c r="F7" s="382" t="n"/>
      <c r="G7" s="382" t="n"/>
      <c r="H7" s="382" t="n"/>
      <c r="I7" s="382" t="n"/>
      <c r="J7" s="382" t="n"/>
      <c r="K7" s="382" t="n"/>
      <c r="L7" s="382" t="n"/>
      <c r="M7" s="382" t="n"/>
      <c r="N7" s="382" t="n"/>
      <c r="O7" s="382" t="n"/>
      <c r="P7" s="382" t="n"/>
      <c r="Q7" s="382" t="n"/>
      <c r="R7" s="382" t="n"/>
      <c r="S7" s="382" t="n"/>
      <c r="T7" s="382" t="n"/>
      <c r="U7" s="382" t="n"/>
      <c r="V7" s="382" t="n"/>
      <c r="W7" s="382" t="n"/>
      <c r="X7" s="382" t="n"/>
      <c r="Y7" s="382" t="n"/>
      <c r="Z7" s="382" t="n"/>
      <c r="AA7" s="382" t="n"/>
      <c r="AB7" s="382" t="n"/>
      <c r="AC7" s="382" t="n"/>
      <c r="AD7" s="382" t="n"/>
      <c r="AE7" s="382" t="n"/>
      <c r="AF7" s="382" t="n"/>
      <c r="AG7" s="382" t="n"/>
      <c r="AH7" s="382" t="n"/>
      <c r="AI7" s="382" t="n"/>
      <c r="AJ7" s="382" t="n"/>
      <c r="AK7" s="382" t="n"/>
      <c r="AL7" s="382" t="n"/>
      <c r="AM7" s="382" t="n"/>
      <c r="AN7" s="382" t="n"/>
      <c r="AO7" s="382" t="n"/>
      <c r="AP7" s="382" t="n"/>
      <c r="AQ7" s="382" t="n"/>
      <c r="AR7" s="382" t="n"/>
      <c r="AS7" s="382" t="n"/>
      <c r="AT7" s="382" t="n"/>
      <c r="AU7" s="382" t="n"/>
      <c r="AV7" s="382" t="n"/>
      <c r="AW7" s="382" t="n"/>
      <c r="AX7" s="382" t="n"/>
      <c r="AY7" s="382" t="n"/>
      <c r="AZ7" s="382" t="n"/>
      <c r="BA7" s="382" t="n"/>
      <c r="BB7" s="382" t="n"/>
      <c r="BC7" s="382" t="n"/>
      <c r="BD7" s="382" t="n"/>
      <c r="BE7" s="382" t="n"/>
      <c r="BF7" s="382" t="n"/>
      <c r="BG7" s="382" t="n"/>
      <c r="BH7" s="382" t="n"/>
      <c r="BI7" s="382" t="n"/>
      <c r="BJ7" s="382" t="n"/>
      <c r="BK7" s="382" t="n"/>
      <c r="BL7" s="382" t="n"/>
      <c r="BM7" s="382" t="n"/>
      <c r="BN7" s="382" t="n"/>
      <c r="BO7" s="382" t="n"/>
      <c r="BP7" s="382" t="n"/>
      <c r="BQ7" s="382" t="n"/>
      <c r="BR7" s="382" t="n"/>
      <c r="BS7" s="382" t="n"/>
      <c r="BT7" s="382" t="n"/>
      <c r="BU7" s="382" t="n"/>
      <c r="BV7" s="382" t="n"/>
      <c r="BW7" s="382" t="n"/>
      <c r="BX7" s="382" t="n"/>
      <c r="BY7" s="382" t="n"/>
      <c r="BZ7" s="382" t="n"/>
      <c r="CA7" s="382" t="n"/>
      <c r="CB7" s="382" t="n"/>
      <c r="CC7" s="382" t="n"/>
      <c r="CD7" s="382" t="n"/>
      <c r="CE7" s="382" t="n"/>
      <c r="CF7" s="382" t="n"/>
      <c r="CG7" s="382" t="n"/>
      <c r="CH7" s="382" t="n"/>
    </row>
    <row r="8" ht="15" customFormat="1" customHeight="1" s="380">
      <c r="A8" s="402" t="inlineStr">
        <is>
          <t>Ramsgate</t>
        </is>
      </c>
      <c r="B8" s="402" t="n"/>
      <c r="C8" s="402" t="n"/>
      <c r="D8" s="402" t="n"/>
      <c r="E8" s="402" t="n"/>
      <c r="F8" s="402" t="n"/>
      <c r="G8" s="402" t="n"/>
      <c r="H8" s="402" t="n"/>
      <c r="I8" s="402" t="n"/>
      <c r="J8" s="402" t="n"/>
      <c r="K8" s="402" t="n"/>
      <c r="L8" s="402" t="n"/>
      <c r="M8" s="402" t="n"/>
      <c r="N8" s="402" t="n"/>
      <c r="O8" s="402" t="n"/>
      <c r="P8" s="402" t="n"/>
      <c r="Q8" s="402" t="n"/>
      <c r="R8" s="402" t="n"/>
      <c r="S8" s="402" t="n"/>
      <c r="T8" s="402" t="n"/>
      <c r="U8" s="402" t="n"/>
      <c r="V8" s="402" t="n"/>
      <c r="W8" s="402" t="n"/>
      <c r="X8" s="402" t="n"/>
      <c r="Y8" s="402" t="n"/>
      <c r="Z8" s="402" t="n"/>
      <c r="AA8" s="402" t="n"/>
      <c r="AB8" s="402" t="n"/>
      <c r="AC8" s="402" t="n"/>
      <c r="AD8" s="402" t="n"/>
      <c r="AE8" s="402" t="n"/>
      <c r="AF8" s="402" t="n"/>
      <c r="AG8" s="402" t="n"/>
      <c r="AH8" s="402" t="n"/>
      <c r="AI8" s="402" t="n"/>
      <c r="AJ8" s="402" t="n"/>
      <c r="AK8" s="402" t="n"/>
      <c r="AL8" s="402" t="n"/>
      <c r="AM8" s="402" t="n"/>
      <c r="AN8" s="402" t="n"/>
      <c r="AO8" s="402" t="n"/>
      <c r="AP8" s="402" t="n"/>
      <c r="AQ8" s="402" t="n"/>
      <c r="AR8" s="402" t="n"/>
      <c r="AS8" s="402" t="n"/>
      <c r="AT8" s="402" t="n"/>
      <c r="AU8" s="402" t="n"/>
      <c r="AV8" s="402" t="n"/>
      <c r="AW8" s="402" t="n"/>
      <c r="AX8" s="402" t="n"/>
      <c r="AY8" s="402" t="n"/>
      <c r="AZ8" s="402" t="n"/>
      <c r="BA8" s="402" t="n"/>
      <c r="BB8" s="402" t="n"/>
      <c r="BC8" s="402" t="n"/>
      <c r="BD8" s="402" t="n"/>
      <c r="BE8" s="402" t="n"/>
      <c r="BF8" s="402" t="n"/>
      <c r="BG8" s="402" t="n"/>
      <c r="BH8" s="402" t="n"/>
      <c r="BI8" s="402" t="n"/>
      <c r="BJ8" s="402" t="n"/>
      <c r="BK8" s="402" t="n"/>
      <c r="BL8" s="402" t="n"/>
      <c r="BM8" s="402" t="n"/>
      <c r="BN8" s="402" t="n"/>
      <c r="BO8" s="402" t="n"/>
      <c r="BP8" s="402" t="n"/>
      <c r="BQ8" s="402" t="n"/>
      <c r="BR8" s="402" t="n"/>
      <c r="BS8" s="402" t="n"/>
      <c r="BT8" s="402" t="n"/>
      <c r="BU8" s="402" t="n"/>
      <c r="BV8" s="402" t="n"/>
      <c r="BW8" s="402" t="n"/>
      <c r="BX8" s="402" t="n"/>
      <c r="BY8" s="402" t="n"/>
      <c r="BZ8" s="402" t="n"/>
      <c r="CA8" s="402" t="n"/>
      <c r="CB8" s="402" t="n"/>
      <c r="CC8" s="402" t="n"/>
      <c r="CD8" s="402" t="n"/>
      <c r="CE8" s="402" t="n"/>
      <c r="CF8" s="402" t="n"/>
      <c r="CG8" s="402" t="n"/>
      <c r="CH8" s="402" t="n"/>
    </row>
    <row r="9" ht="15" customFormat="1" customHeight="1" s="380">
      <c r="A9" s="458" t="inlineStr">
        <is>
          <t xml:space="preserve">  Revenue</t>
        </is>
      </c>
      <c r="B9" s="382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Format="1" customHeight="1" s="380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Format="1" customHeight="1" s="380">
      <c r="A11" s="381" t="inlineStr">
        <is>
          <t xml:space="preserve">  Cumulative Net</t>
        </is>
      </c>
      <c r="B11" s="382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Format="1" customHeight="1" s="380">
      <c r="A12" s="382" t="n"/>
      <c r="B12" s="382" t="n"/>
      <c r="C12" s="382" t="n"/>
      <c r="D12" s="382" t="n"/>
      <c r="E12" s="382" t="n"/>
      <c r="F12" s="382" t="n"/>
      <c r="G12" s="382" t="n"/>
      <c r="H12" s="382" t="n"/>
      <c r="I12" s="382" t="n"/>
      <c r="J12" s="382" t="n"/>
      <c r="K12" s="382" t="n"/>
      <c r="L12" s="382" t="n"/>
      <c r="M12" s="382" t="n"/>
      <c r="N12" s="382" t="n"/>
      <c r="O12" s="382" t="n"/>
      <c r="P12" s="382" t="n"/>
      <c r="Q12" s="382" t="n"/>
      <c r="R12" s="382" t="n"/>
      <c r="S12" s="382" t="n"/>
      <c r="T12" s="382" t="n"/>
      <c r="U12" s="382" t="n"/>
      <c r="V12" s="382" t="n"/>
      <c r="W12" s="382" t="n"/>
      <c r="X12" s="382" t="n"/>
      <c r="Y12" s="382" t="n"/>
      <c r="Z12" s="382" t="n"/>
      <c r="AA12" s="382" t="n"/>
      <c r="AB12" s="382" t="n"/>
      <c r="AC12" s="382" t="n"/>
      <c r="AD12" s="382" t="n"/>
      <c r="AE12" s="382" t="n"/>
      <c r="AF12" s="382" t="n"/>
      <c r="AG12" s="382" t="n"/>
      <c r="AH12" s="382" t="n"/>
      <c r="AI12" s="382" t="n"/>
      <c r="AJ12" s="382" t="n"/>
      <c r="AK12" s="382" t="n"/>
      <c r="AL12" s="382" t="n"/>
      <c r="AM12" s="382" t="n"/>
      <c r="AN12" s="382" t="n"/>
      <c r="AO12" s="382" t="n"/>
      <c r="AP12" s="382" t="n"/>
      <c r="AQ12" s="382" t="n"/>
      <c r="AR12" s="382" t="n"/>
      <c r="AS12" s="382" t="n"/>
      <c r="AT12" s="382" t="n"/>
      <c r="AU12" s="382" t="n"/>
      <c r="AV12" s="382" t="n"/>
      <c r="AW12" s="382" t="n"/>
      <c r="AX12" s="382" t="n"/>
      <c r="AY12" s="382" t="n"/>
      <c r="AZ12" s="382" t="n"/>
      <c r="BA12" s="382" t="n"/>
      <c r="BB12" s="382" t="n"/>
      <c r="BC12" s="382" t="n"/>
      <c r="BD12" s="382" t="n"/>
      <c r="BE12" s="382" t="n"/>
      <c r="BF12" s="382" t="n"/>
      <c r="BG12" s="382" t="n"/>
      <c r="BH12" s="382" t="n"/>
      <c r="BI12" s="382" t="n"/>
      <c r="BJ12" s="382" t="n"/>
      <c r="BK12" s="382" t="n"/>
      <c r="BL12" s="382" t="n"/>
      <c r="BM12" s="382" t="n"/>
      <c r="BN12" s="382" t="n"/>
      <c r="BO12" s="382" t="n"/>
      <c r="BP12" s="382" t="n"/>
      <c r="BQ12" s="382" t="n"/>
      <c r="BR12" s="382" t="n"/>
      <c r="BS12" s="382" t="n"/>
      <c r="BT12" s="382" t="n"/>
      <c r="BU12" s="382" t="n"/>
      <c r="BV12" s="382" t="n"/>
      <c r="BW12" s="382" t="n"/>
      <c r="BX12" s="382" t="n"/>
      <c r="BY12" s="382" t="n"/>
      <c r="BZ12" s="382" t="n"/>
      <c r="CA12" s="382" t="n"/>
      <c r="CB12" s="382" t="n"/>
      <c r="CC12" s="382" t="n"/>
      <c r="CD12" s="382" t="n"/>
      <c r="CE12" s="382" t="n"/>
      <c r="CF12" s="382" t="n"/>
      <c r="CG12" s="382" t="n"/>
      <c r="CH12" s="382" t="n"/>
    </row>
    <row r="13" ht="15" customFormat="1" customHeight="1" s="380">
      <c r="A13" s="402" t="inlineStr">
        <is>
          <t>Klump</t>
        </is>
      </c>
      <c r="B13" s="402" t="n"/>
      <c r="C13" s="402" t="n"/>
      <c r="D13" s="402" t="n"/>
      <c r="E13" s="402" t="n"/>
      <c r="F13" s="402" t="n"/>
      <c r="G13" s="402" t="n"/>
      <c r="H13" s="402" t="n"/>
      <c r="I13" s="402" t="n"/>
      <c r="J13" s="402" t="n"/>
      <c r="K13" s="402" t="n"/>
      <c r="L13" s="402" t="n"/>
      <c r="M13" s="402" t="n"/>
      <c r="N13" s="402" t="n"/>
      <c r="O13" s="402" t="n"/>
      <c r="P13" s="402" t="n"/>
      <c r="Q13" s="402" t="n"/>
      <c r="R13" s="402" t="n"/>
      <c r="S13" s="402" t="n"/>
      <c r="T13" s="402" t="n"/>
      <c r="U13" s="402" t="n"/>
      <c r="V13" s="402" t="n"/>
      <c r="W13" s="402" t="n"/>
      <c r="X13" s="402" t="n"/>
      <c r="Y13" s="402" t="n"/>
      <c r="Z13" s="402" t="n"/>
      <c r="AA13" s="402" t="n"/>
      <c r="AB13" s="402" t="n"/>
      <c r="AC13" s="402" t="n"/>
      <c r="AD13" s="402" t="n"/>
      <c r="AE13" s="402" t="n"/>
      <c r="AF13" s="402" t="n"/>
      <c r="AG13" s="402" t="n"/>
      <c r="AH13" s="402" t="n"/>
      <c r="AI13" s="402" t="n"/>
      <c r="AJ13" s="402" t="n"/>
      <c r="AK13" s="402" t="n"/>
      <c r="AL13" s="402" t="n"/>
      <c r="AM13" s="402" t="n"/>
      <c r="AN13" s="402" t="n"/>
      <c r="AO13" s="402" t="n"/>
      <c r="AP13" s="402" t="n"/>
      <c r="AQ13" s="402" t="n"/>
      <c r="AR13" s="402" t="n"/>
      <c r="AS13" s="402" t="n"/>
      <c r="AT13" s="402" t="n"/>
      <c r="AU13" s="402" t="n"/>
      <c r="AV13" s="402" t="n"/>
      <c r="AW13" s="402" t="n"/>
      <c r="AX13" s="402" t="n"/>
      <c r="AY13" s="402" t="n"/>
      <c r="AZ13" s="402" t="n"/>
      <c r="BA13" s="402" t="n"/>
      <c r="BB13" s="402" t="n"/>
      <c r="BC13" s="402" t="n"/>
      <c r="BD13" s="402" t="n"/>
      <c r="BE13" s="402" t="n"/>
      <c r="BF13" s="402" t="n"/>
      <c r="BG13" s="402" t="n"/>
      <c r="BH13" s="402" t="n"/>
      <c r="BI13" s="402" t="n"/>
      <c r="BJ13" s="402" t="n"/>
      <c r="BK13" s="402" t="n"/>
      <c r="BL13" s="402" t="n"/>
      <c r="BM13" s="402" t="n"/>
      <c r="BN13" s="402" t="n"/>
      <c r="BO13" s="402" t="n"/>
      <c r="BP13" s="402" t="n"/>
      <c r="BQ13" s="402" t="n"/>
      <c r="BR13" s="402" t="n"/>
      <c r="BS13" s="402" t="n"/>
      <c r="BT13" s="402" t="n"/>
      <c r="BU13" s="402" t="n"/>
      <c r="BV13" s="402" t="n"/>
      <c r="BW13" s="402" t="n"/>
      <c r="BX13" s="402" t="n"/>
      <c r="BY13" s="402" t="n"/>
      <c r="BZ13" s="402" t="n"/>
      <c r="CA13" s="402" t="n"/>
      <c r="CB13" s="402" t="n"/>
      <c r="CC13" s="402" t="n"/>
      <c r="CD13" s="402" t="n"/>
      <c r="CE13" s="402" t="n"/>
      <c r="CF13" s="402" t="n"/>
      <c r="CG13" s="402" t="n"/>
      <c r="CH13" s="402" t="n"/>
    </row>
    <row r="14" ht="15" customFormat="1" customHeight="1" s="380">
      <c r="A14" s="458" t="inlineStr">
        <is>
          <t xml:space="preserve">  Revenue</t>
        </is>
      </c>
      <c r="B14" s="382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Format="1" customHeight="1" s="380">
      <c r="A15" s="629" t="inlineStr">
        <is>
          <t xml:space="preserve">  Steyn Fees</t>
        </is>
      </c>
      <c r="B15" s="382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Format="1" customHeight="1" s="380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Format="1" customHeight="1" s="380">
      <c r="A17" s="381" t="inlineStr">
        <is>
          <t xml:space="preserve">  Cumulative Net</t>
        </is>
      </c>
      <c r="B17" s="382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Format="1" customHeight="1" s="380">
      <c r="A18" s="382" t="n"/>
      <c r="B18" s="382" t="n"/>
      <c r="C18" s="382" t="n"/>
      <c r="D18" s="382" t="n"/>
      <c r="E18" s="382" t="n"/>
      <c r="F18" s="382" t="n"/>
      <c r="G18" s="382" t="n"/>
      <c r="H18" s="382" t="n"/>
      <c r="I18" s="382" t="n"/>
      <c r="J18" s="382" t="n"/>
      <c r="K18" s="382" t="n"/>
      <c r="L18" s="382" t="n"/>
      <c r="M18" s="382" t="n"/>
      <c r="N18" s="382" t="n"/>
      <c r="O18" s="382" t="n"/>
      <c r="P18" s="382" t="n"/>
      <c r="Q18" s="382" t="n"/>
      <c r="R18" s="382" t="n"/>
      <c r="S18" s="382" t="n"/>
      <c r="T18" s="382" t="n"/>
      <c r="U18" s="382" t="n"/>
      <c r="V18" s="382" t="n"/>
      <c r="W18" s="382" t="n"/>
      <c r="X18" s="382" t="n"/>
      <c r="Y18" s="382" t="n"/>
      <c r="Z18" s="382" t="n"/>
      <c r="AA18" s="382" t="n"/>
      <c r="AB18" s="382" t="n"/>
      <c r="AC18" s="382" t="n"/>
      <c r="AD18" s="382" t="n"/>
      <c r="AE18" s="382" t="n"/>
      <c r="AF18" s="382" t="n"/>
      <c r="AG18" s="382" t="n"/>
      <c r="AH18" s="382" t="n"/>
      <c r="AI18" s="382" t="n"/>
      <c r="AJ18" s="382" t="n"/>
      <c r="AK18" s="382" t="n"/>
      <c r="AL18" s="382" t="n"/>
      <c r="AM18" s="382" t="n"/>
      <c r="AN18" s="382" t="n"/>
      <c r="AO18" s="382" t="n"/>
      <c r="AP18" s="382" t="n"/>
      <c r="AQ18" s="382" t="n"/>
      <c r="AR18" s="382" t="n"/>
      <c r="AS18" s="382" t="n"/>
      <c r="AT18" s="382" t="n"/>
      <c r="AU18" s="382" t="n"/>
      <c r="AV18" s="382" t="n"/>
      <c r="AW18" s="382" t="n"/>
      <c r="AX18" s="382" t="n"/>
      <c r="AY18" s="382" t="n"/>
      <c r="AZ18" s="382" t="n"/>
      <c r="BA18" s="382" t="n"/>
      <c r="BB18" s="382" t="n"/>
      <c r="BC18" s="382" t="n"/>
      <c r="BD18" s="382" t="n"/>
      <c r="BE18" s="382" t="n"/>
      <c r="BF18" s="382" t="n"/>
      <c r="BG18" s="382" t="n"/>
      <c r="BH18" s="382" t="n"/>
      <c r="BI18" s="382" t="n"/>
      <c r="BJ18" s="382" t="n"/>
      <c r="BK18" s="382" t="n"/>
      <c r="BL18" s="382" t="n"/>
      <c r="BM18" s="382" t="n"/>
      <c r="BN18" s="382" t="n"/>
      <c r="BO18" s="382" t="n"/>
      <c r="BP18" s="382" t="n"/>
      <c r="BQ18" s="382" t="n"/>
      <c r="BR18" s="382" t="n"/>
      <c r="BS18" s="382" t="n"/>
      <c r="BT18" s="382" t="n"/>
      <c r="BU18" s="382" t="n"/>
      <c r="BV18" s="382" t="n"/>
      <c r="BW18" s="382" t="n"/>
      <c r="BX18" s="382" t="n"/>
      <c r="BY18" s="382" t="n"/>
      <c r="BZ18" s="382" t="n"/>
      <c r="CA18" s="382" t="n"/>
      <c r="CB18" s="382" t="n"/>
      <c r="CC18" s="382" t="n"/>
      <c r="CD18" s="382" t="n"/>
      <c r="CE18" s="382" t="n"/>
      <c r="CF18" s="382" t="n"/>
      <c r="CG18" s="382" t="n"/>
      <c r="CH18" s="382" t="n"/>
    </row>
    <row r="19" ht="15" customFormat="1" customHeight="1" s="380">
      <c r="A19" s="402" t="inlineStr">
        <is>
          <t>Scott</t>
        </is>
      </c>
      <c r="B19" s="402" t="n"/>
      <c r="C19" s="402" t="n"/>
      <c r="D19" s="402" t="n"/>
      <c r="E19" s="402" t="n"/>
      <c r="F19" s="402" t="n"/>
      <c r="G19" s="402" t="n"/>
      <c r="H19" s="402" t="n"/>
      <c r="I19" s="402" t="n"/>
      <c r="J19" s="402" t="n"/>
      <c r="K19" s="402" t="n"/>
      <c r="L19" s="402" t="n"/>
      <c r="M19" s="402" t="n"/>
      <c r="N19" s="402" t="n"/>
      <c r="O19" s="402" t="n"/>
      <c r="P19" s="402" t="n"/>
      <c r="Q19" s="402" t="n"/>
      <c r="R19" s="402" t="n"/>
      <c r="S19" s="402" t="n"/>
      <c r="T19" s="402" t="n"/>
      <c r="U19" s="402" t="n"/>
      <c r="V19" s="402" t="n"/>
      <c r="W19" s="402" t="n"/>
      <c r="X19" s="402" t="n"/>
      <c r="Y19" s="402" t="n"/>
      <c r="Z19" s="402" t="n"/>
      <c r="AA19" s="402" t="n"/>
      <c r="AB19" s="402" t="n"/>
      <c r="AC19" s="402" t="n"/>
      <c r="AD19" s="402" t="n"/>
      <c r="AE19" s="402" t="n"/>
      <c r="AF19" s="402" t="n"/>
      <c r="AG19" s="402" t="n"/>
      <c r="AH19" s="402" t="n"/>
      <c r="AI19" s="402" t="n"/>
      <c r="AJ19" s="402" t="n"/>
      <c r="AK19" s="402" t="n"/>
      <c r="AL19" s="402" t="n"/>
      <c r="AM19" s="402" t="n"/>
      <c r="AN19" s="402" t="n"/>
      <c r="AO19" s="402" t="n"/>
      <c r="AP19" s="402" t="n"/>
      <c r="AQ19" s="402" t="n"/>
      <c r="AR19" s="402" t="n"/>
      <c r="AS19" s="402" t="n"/>
      <c r="AT19" s="402" t="n"/>
      <c r="AU19" s="402" t="n"/>
      <c r="AV19" s="402" t="n"/>
      <c r="AW19" s="402" t="n"/>
      <c r="AX19" s="402" t="n"/>
      <c r="AY19" s="402" t="n"/>
      <c r="AZ19" s="402" t="n"/>
      <c r="BA19" s="402" t="n"/>
      <c r="BB19" s="402" t="n"/>
      <c r="BC19" s="402" t="n"/>
      <c r="BD19" s="402" t="n"/>
      <c r="BE19" s="402" t="n"/>
      <c r="BF19" s="402" t="n"/>
      <c r="BG19" s="402" t="n"/>
      <c r="BH19" s="402" t="n"/>
      <c r="BI19" s="402" t="n"/>
      <c r="BJ19" s="402" t="n"/>
      <c r="BK19" s="402" t="n"/>
      <c r="BL19" s="402" t="n"/>
      <c r="BM19" s="402" t="n"/>
      <c r="BN19" s="402" t="n"/>
      <c r="BO19" s="402" t="n"/>
      <c r="BP19" s="402" t="n"/>
      <c r="BQ19" s="402" t="n"/>
      <c r="BR19" s="402" t="n"/>
      <c r="BS19" s="402" t="n"/>
      <c r="BT19" s="402" t="n"/>
      <c r="BU19" s="402" t="n"/>
      <c r="BV19" s="402" t="n"/>
      <c r="BW19" s="402" t="n"/>
      <c r="BX19" s="402" t="n"/>
      <c r="BY19" s="402" t="n"/>
      <c r="BZ19" s="402" t="n"/>
      <c r="CA19" s="402" t="n"/>
      <c r="CB19" s="402" t="n"/>
      <c r="CC19" s="402" t="n"/>
      <c r="CD19" s="402" t="n"/>
      <c r="CE19" s="402" t="n"/>
      <c r="CF19" s="402" t="n"/>
      <c r="CG19" s="402" t="n"/>
      <c r="CH19" s="402" t="n"/>
    </row>
    <row r="20" ht="15" customFormat="1" customHeight="1" s="380">
      <c r="A20" s="458" t="inlineStr">
        <is>
          <t xml:space="preserve">  Revenue</t>
        </is>
      </c>
      <c r="B20" s="382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Format="1" customHeight="1" s="380">
      <c r="A21" s="629" t="inlineStr">
        <is>
          <t xml:space="preserve">  Steyn Fees</t>
        </is>
      </c>
      <c r="B21" s="382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Format="1" customHeight="1" s="380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Format="1" customHeight="1" s="380">
      <c r="A23" s="381" t="inlineStr">
        <is>
          <t xml:space="preserve">  Cumulative Net</t>
        </is>
      </c>
      <c r="B23" s="382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Format="1" customHeight="1" s="380">
      <c r="A24" s="382" t="n"/>
      <c r="B24" s="382" t="n"/>
      <c r="C24" s="382" t="n"/>
      <c r="D24" s="382" t="n"/>
      <c r="E24" s="382" t="n"/>
      <c r="F24" s="382" t="n"/>
      <c r="G24" s="382" t="n"/>
      <c r="H24" s="382" t="n"/>
      <c r="I24" s="382" t="n"/>
      <c r="J24" s="382" t="n"/>
      <c r="K24" s="382" t="n"/>
      <c r="L24" s="382" t="n"/>
      <c r="M24" s="382" t="n"/>
      <c r="N24" s="382" t="n"/>
      <c r="O24" s="382" t="n"/>
      <c r="P24" s="382" t="n"/>
      <c r="Q24" s="382" t="n"/>
      <c r="R24" s="382" t="n"/>
      <c r="S24" s="382" t="n"/>
      <c r="T24" s="382" t="n"/>
      <c r="U24" s="382" t="n"/>
      <c r="V24" s="382" t="n"/>
      <c r="W24" s="382" t="n"/>
      <c r="X24" s="382" t="n"/>
      <c r="Y24" s="382" t="n"/>
      <c r="Z24" s="382" t="n"/>
      <c r="AA24" s="382" t="n"/>
      <c r="AB24" s="382" t="n"/>
      <c r="AC24" s="382" t="n"/>
      <c r="AD24" s="382" t="n"/>
      <c r="AE24" s="382" t="n"/>
      <c r="AF24" s="382" t="n"/>
      <c r="AG24" s="382" t="n"/>
      <c r="AH24" s="382" t="n"/>
      <c r="AI24" s="382" t="n"/>
      <c r="AJ24" s="382" t="n"/>
      <c r="AK24" s="382" t="n"/>
      <c r="AL24" s="382" t="n"/>
      <c r="AM24" s="382" t="n"/>
      <c r="AN24" s="382" t="n"/>
      <c r="AO24" s="382" t="n"/>
      <c r="AP24" s="382" t="n"/>
      <c r="AQ24" s="382" t="n"/>
      <c r="AR24" s="382" t="n"/>
      <c r="AS24" s="382" t="n"/>
      <c r="AT24" s="382" t="n"/>
      <c r="AU24" s="382" t="n"/>
      <c r="AV24" s="382" t="n"/>
      <c r="AW24" s="382" t="n"/>
      <c r="AX24" s="382" t="n"/>
      <c r="AY24" s="382" t="n"/>
      <c r="AZ24" s="382" t="n"/>
      <c r="BA24" s="382" t="n"/>
      <c r="BB24" s="382" t="n"/>
      <c r="BC24" s="382" t="n"/>
      <c r="BD24" s="382" t="n"/>
      <c r="BE24" s="382" t="n"/>
      <c r="BF24" s="382" t="n"/>
      <c r="BG24" s="382" t="n"/>
      <c r="BH24" s="382" t="n"/>
      <c r="BI24" s="382" t="n"/>
      <c r="BJ24" s="382" t="n"/>
      <c r="BK24" s="382" t="n"/>
      <c r="BL24" s="382" t="n"/>
      <c r="BM24" s="382" t="n"/>
      <c r="BN24" s="382" t="n"/>
      <c r="BO24" s="382" t="n"/>
      <c r="BP24" s="382" t="n"/>
      <c r="BQ24" s="382" t="n"/>
      <c r="BR24" s="382" t="n"/>
      <c r="BS24" s="382" t="n"/>
      <c r="BT24" s="382" t="n"/>
      <c r="BU24" s="382" t="n"/>
      <c r="BV24" s="382" t="n"/>
      <c r="BW24" s="382" t="n"/>
      <c r="BX24" s="382" t="n"/>
      <c r="BY24" s="382" t="n"/>
      <c r="BZ24" s="382" t="n"/>
      <c r="CA24" s="382" t="n"/>
      <c r="CB24" s="382" t="n"/>
      <c r="CC24" s="382" t="n"/>
      <c r="CD24" s="382" t="n"/>
      <c r="CE24" s="382" t="n"/>
      <c r="CF24" s="382" t="n"/>
      <c r="CG24" s="382" t="n"/>
      <c r="CH24" s="382" t="n"/>
    </row>
    <row r="25" ht="15" customFormat="1" customHeight="1" s="380">
      <c r="A25" s="402" t="inlineStr">
        <is>
          <t>Francis</t>
        </is>
      </c>
      <c r="B25" s="402" t="n"/>
      <c r="C25" s="402" t="n"/>
      <c r="D25" s="402" t="n"/>
      <c r="E25" s="402" t="n"/>
      <c r="F25" s="402" t="n"/>
      <c r="G25" s="402" t="n"/>
      <c r="H25" s="402" t="n"/>
      <c r="I25" s="402" t="n"/>
      <c r="J25" s="402" t="n"/>
      <c r="K25" s="402" t="n"/>
      <c r="L25" s="402" t="n"/>
      <c r="M25" s="402" t="n"/>
      <c r="N25" s="402" t="n"/>
      <c r="O25" s="402" t="n"/>
      <c r="P25" s="402" t="n"/>
      <c r="Q25" s="402" t="n"/>
      <c r="R25" s="402" t="n"/>
      <c r="S25" s="402" t="n"/>
      <c r="T25" s="402" t="n"/>
      <c r="U25" s="402" t="n"/>
      <c r="V25" s="402" t="n"/>
      <c r="W25" s="402" t="n"/>
      <c r="X25" s="402" t="n"/>
      <c r="Y25" s="402" t="n"/>
      <c r="Z25" s="402" t="n"/>
      <c r="AA25" s="402" t="n"/>
      <c r="AB25" s="402" t="n"/>
      <c r="AC25" s="402" t="n"/>
      <c r="AD25" s="402" t="n"/>
      <c r="AE25" s="402" t="n"/>
      <c r="AF25" s="402" t="n"/>
      <c r="AG25" s="402" t="n"/>
      <c r="AH25" s="402" t="n"/>
      <c r="AI25" s="402" t="n"/>
      <c r="AJ25" s="402" t="n"/>
      <c r="AK25" s="402" t="n"/>
      <c r="AL25" s="402" t="n"/>
      <c r="AM25" s="402" t="n"/>
      <c r="AN25" s="402" t="n"/>
      <c r="AO25" s="402" t="n"/>
      <c r="AP25" s="402" t="n"/>
      <c r="AQ25" s="402" t="n"/>
      <c r="AR25" s="402" t="n"/>
      <c r="AS25" s="402" t="n"/>
      <c r="AT25" s="402" t="n"/>
      <c r="AU25" s="402" t="n"/>
      <c r="AV25" s="402" t="n"/>
      <c r="AW25" s="402" t="n"/>
      <c r="AX25" s="402" t="n"/>
      <c r="AY25" s="402" t="n"/>
      <c r="AZ25" s="402" t="n"/>
      <c r="BA25" s="402" t="n"/>
      <c r="BB25" s="402" t="n"/>
      <c r="BC25" s="402" t="n"/>
      <c r="BD25" s="402" t="n"/>
      <c r="BE25" s="402" t="n"/>
      <c r="BF25" s="402" t="n"/>
      <c r="BG25" s="402" t="n"/>
      <c r="BH25" s="402" t="n"/>
      <c r="BI25" s="402" t="n"/>
      <c r="BJ25" s="402" t="n"/>
      <c r="BK25" s="402" t="n"/>
      <c r="BL25" s="402" t="n"/>
      <c r="BM25" s="402" t="n"/>
      <c r="BN25" s="402" t="n"/>
      <c r="BO25" s="402" t="n"/>
      <c r="BP25" s="402" t="n"/>
      <c r="BQ25" s="402" t="n"/>
      <c r="BR25" s="402" t="n"/>
      <c r="BS25" s="402" t="n"/>
      <c r="BT25" s="402" t="n"/>
      <c r="BU25" s="402" t="n"/>
      <c r="BV25" s="402" t="n"/>
      <c r="BW25" s="402" t="n"/>
      <c r="BX25" s="402" t="n"/>
      <c r="BY25" s="402" t="n"/>
      <c r="BZ25" s="402" t="n"/>
      <c r="CA25" s="402" t="n"/>
      <c r="CB25" s="402" t="n"/>
      <c r="CC25" s="402" t="n"/>
      <c r="CD25" s="402" t="n"/>
      <c r="CE25" s="402" t="n"/>
      <c r="CF25" s="402" t="n"/>
      <c r="CG25" s="402" t="n"/>
      <c r="CH25" s="402" t="n"/>
    </row>
    <row r="26" ht="15" customFormat="1" customHeight="1" s="380">
      <c r="A26" s="458" t="inlineStr">
        <is>
          <t xml:space="preserve">  Revenue</t>
        </is>
      </c>
      <c r="B26" s="382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Format="1" customHeight="1" s="380">
      <c r="A27" s="629" t="inlineStr">
        <is>
          <t xml:space="preserve">  Steyn Fees</t>
        </is>
      </c>
      <c r="B27" s="382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Format="1" customHeight="1" s="380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Format="1" customHeight="1" s="380">
      <c r="A29" s="381" t="inlineStr">
        <is>
          <t xml:space="preserve">  Cumulative Net</t>
        </is>
      </c>
      <c r="B29" s="382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Format="1" customHeight="1" s="380">
      <c r="A30" s="382" t="n"/>
      <c r="B30" s="382" t="n"/>
      <c r="C30" s="382" t="n"/>
      <c r="D30" s="382" t="n"/>
      <c r="E30" s="382" t="n"/>
      <c r="F30" s="382" t="n"/>
      <c r="G30" s="382" t="n"/>
      <c r="H30" s="382" t="n"/>
      <c r="I30" s="382" t="n"/>
      <c r="J30" s="382" t="n"/>
      <c r="K30" s="382" t="n"/>
      <c r="L30" s="382" t="n"/>
      <c r="M30" s="382" t="n"/>
      <c r="N30" s="382" t="n"/>
      <c r="O30" s="382" t="n"/>
      <c r="P30" s="382" t="n"/>
      <c r="Q30" s="382" t="n"/>
      <c r="R30" s="382" t="n"/>
      <c r="S30" s="382" t="n"/>
      <c r="T30" s="382" t="n"/>
      <c r="U30" s="382" t="n"/>
      <c r="V30" s="382" t="n"/>
      <c r="W30" s="382" t="n"/>
      <c r="X30" s="382" t="n"/>
      <c r="Y30" s="382" t="n"/>
      <c r="Z30" s="382" t="n"/>
      <c r="AA30" s="382" t="n"/>
      <c r="AB30" s="382" t="n"/>
      <c r="AC30" s="382" t="n"/>
      <c r="AD30" s="382" t="n"/>
      <c r="AE30" s="382" t="n"/>
      <c r="AF30" s="382" t="n"/>
      <c r="AG30" s="382" t="n"/>
      <c r="AH30" s="382" t="n"/>
      <c r="AI30" s="382" t="n"/>
      <c r="AJ30" s="382" t="n"/>
      <c r="AK30" s="382" t="n"/>
      <c r="AL30" s="382" t="n"/>
      <c r="AM30" s="382" t="n"/>
      <c r="AN30" s="382" t="n"/>
      <c r="AO30" s="382" t="n"/>
      <c r="AP30" s="382" t="n"/>
      <c r="AQ30" s="382" t="n"/>
      <c r="AR30" s="382" t="n"/>
      <c r="AS30" s="382" t="n"/>
      <c r="AT30" s="382" t="n"/>
      <c r="AU30" s="382" t="n"/>
      <c r="AV30" s="382" t="n"/>
      <c r="AW30" s="382" t="n"/>
      <c r="AX30" s="382" t="n"/>
      <c r="AY30" s="382" t="n"/>
      <c r="AZ30" s="382" t="n"/>
      <c r="BA30" s="382" t="n"/>
      <c r="BB30" s="382" t="n"/>
      <c r="BC30" s="382" t="n"/>
      <c r="BD30" s="382" t="n"/>
      <c r="BE30" s="382" t="n"/>
      <c r="BF30" s="382" t="n"/>
      <c r="BG30" s="382" t="n"/>
      <c r="BH30" s="382" t="n"/>
      <c r="BI30" s="382" t="n"/>
      <c r="BJ30" s="382" t="n"/>
      <c r="BK30" s="382" t="n"/>
      <c r="BL30" s="382" t="n"/>
      <c r="BM30" s="382" t="n"/>
      <c r="BN30" s="382" t="n"/>
      <c r="BO30" s="382" t="n"/>
      <c r="BP30" s="382" t="n"/>
      <c r="BQ30" s="382" t="n"/>
      <c r="BR30" s="382" t="n"/>
      <c r="BS30" s="382" t="n"/>
      <c r="BT30" s="382" t="n"/>
      <c r="BU30" s="382" t="n"/>
      <c r="BV30" s="382" t="n"/>
      <c r="BW30" s="382" t="n"/>
      <c r="BX30" s="382" t="n"/>
      <c r="BY30" s="382" t="n"/>
      <c r="BZ30" s="382" t="n"/>
      <c r="CA30" s="382" t="n"/>
      <c r="CB30" s="382" t="n"/>
      <c r="CC30" s="382" t="n"/>
      <c r="CD30" s="382" t="n"/>
      <c r="CE30" s="382" t="n"/>
      <c r="CF30" s="382" t="n"/>
      <c r="CG30" s="382" t="n"/>
      <c r="CH30" s="382" t="n"/>
    </row>
    <row r="31" ht="15" customFormat="1" customHeight="1" s="380">
      <c r="A31" s="402" t="inlineStr">
        <is>
          <t>Reseda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  <c r="AL31" s="402" t="n"/>
      <c r="AM31" s="402" t="n"/>
      <c r="AN31" s="402" t="n"/>
      <c r="AO31" s="402" t="n"/>
      <c r="AP31" s="402" t="n"/>
      <c r="AQ31" s="402" t="n"/>
      <c r="AR31" s="402" t="n"/>
      <c r="AS31" s="402" t="n"/>
      <c r="AT31" s="402" t="n"/>
      <c r="AU31" s="402" t="n"/>
      <c r="AV31" s="402" t="n"/>
      <c r="AW31" s="402" t="n"/>
      <c r="AX31" s="402" t="n"/>
      <c r="AY31" s="402" t="n"/>
      <c r="AZ31" s="402" t="n"/>
      <c r="BA31" s="402" t="n"/>
      <c r="BB31" s="402" t="n"/>
      <c r="BC31" s="402" t="n"/>
      <c r="BD31" s="402" t="n"/>
      <c r="BE31" s="402" t="n"/>
      <c r="BF31" s="402" t="n"/>
      <c r="BG31" s="402" t="n"/>
      <c r="BH31" s="402" t="n"/>
      <c r="BI31" s="402" t="n"/>
      <c r="BJ31" s="402" t="n"/>
      <c r="BK31" s="402" t="n"/>
      <c r="BL31" s="402" t="n"/>
      <c r="BM31" s="402" t="n"/>
      <c r="BN31" s="402" t="n"/>
      <c r="BO31" s="402" t="n"/>
      <c r="BP31" s="402" t="n"/>
      <c r="BQ31" s="402" t="n"/>
      <c r="BR31" s="402" t="n"/>
      <c r="BS31" s="402" t="n"/>
      <c r="BT31" s="402" t="n"/>
      <c r="BU31" s="402" t="n"/>
      <c r="BV31" s="402" t="n"/>
      <c r="BW31" s="402" t="n"/>
      <c r="BX31" s="402" t="n"/>
      <c r="BY31" s="402" t="n"/>
      <c r="BZ31" s="402" t="n"/>
      <c r="CA31" s="402" t="n"/>
      <c r="CB31" s="402" t="n"/>
      <c r="CC31" s="402" t="n"/>
      <c r="CD31" s="402" t="n"/>
      <c r="CE31" s="402" t="n"/>
      <c r="CF31" s="402" t="n"/>
      <c r="CG31" s="402" t="n"/>
      <c r="CH31" s="402" t="n"/>
    </row>
    <row r="32" ht="15" customFormat="1" customHeight="1" s="380">
      <c r="A32" s="458" t="inlineStr">
        <is>
          <t xml:space="preserve">  Revenue</t>
        </is>
      </c>
      <c r="B32" s="382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Format="1" customHeight="1" s="380">
      <c r="A33" s="629" t="inlineStr">
        <is>
          <t xml:space="preserve">  Steyn Fees</t>
        </is>
      </c>
      <c r="B33" s="382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Format="1" customHeight="1" s="380">
      <c r="A34" s="629" t="inlineStr">
        <is>
          <t xml:space="preserve">  PIK Repayment (in Steyn + PIK above)</t>
        </is>
      </c>
      <c r="B34" s="382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Format="1" customHeight="1" s="380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Format="1" customHeight="1" s="380">
      <c r="A36" s="381" t="inlineStr">
        <is>
          <t xml:space="preserve">  Cumulative Net</t>
        </is>
      </c>
      <c r="B36" s="382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  <c r="AL37" s="382" t="n"/>
      <c r="AM37" s="382" t="n"/>
      <c r="AN37" s="382" t="n"/>
      <c r="AO37" s="382" t="n"/>
      <c r="AP37" s="382" t="n"/>
      <c r="AQ37" s="382" t="n"/>
      <c r="AR37" s="382" t="n"/>
      <c r="AS37" s="382" t="n"/>
      <c r="AT37" s="382" t="n"/>
      <c r="AU37" s="382" t="n"/>
      <c r="AV37" s="382" t="n"/>
      <c r="AW37" s="382" t="n"/>
      <c r="AX37" s="382" t="n"/>
      <c r="AY37" s="382" t="n"/>
      <c r="AZ37" s="382" t="n"/>
      <c r="BA37" s="382" t="n"/>
      <c r="BB37" s="382" t="n"/>
      <c r="BC37" s="382" t="n"/>
      <c r="BD37" s="382" t="n"/>
      <c r="BE37" s="382" t="n"/>
      <c r="BF37" s="382" t="n"/>
      <c r="BG37" s="382" t="n"/>
      <c r="BH37" s="382" t="n"/>
      <c r="BI37" s="382" t="n"/>
      <c r="BJ37" s="382" t="n"/>
      <c r="BK37" s="382" t="n"/>
      <c r="BL37" s="382" t="n"/>
      <c r="BM37" s="382" t="n"/>
      <c r="BN37" s="382" t="n"/>
      <c r="BO37" s="382" t="n"/>
      <c r="BP37" s="382" t="n"/>
      <c r="BQ37" s="382" t="n"/>
      <c r="BR37" s="382" t="n"/>
      <c r="BS37" s="382" t="n"/>
      <c r="BT37" s="382" t="n"/>
      <c r="BU37" s="382" t="n"/>
      <c r="BV37" s="382" t="n"/>
      <c r="BW37" s="382" t="n"/>
      <c r="BX37" s="382" t="n"/>
      <c r="BY37" s="382" t="n"/>
      <c r="BZ37" s="382" t="n"/>
      <c r="CA37" s="382" t="n"/>
      <c r="CB37" s="382" t="n"/>
      <c r="CC37" s="382" t="n"/>
      <c r="CD37" s="382" t="n"/>
      <c r="CE37" s="382" t="n"/>
      <c r="CF37" s="382" t="n"/>
      <c r="CG37" s="382" t="n"/>
      <c r="CH37" s="382" t="n"/>
    </row>
    <row r="38" ht="15" customFormat="1" customHeight="1" s="380">
      <c r="A38" s="402" t="inlineStr">
        <is>
          <t>3rd St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2" t="n"/>
      <c r="AN38" s="402" t="n"/>
      <c r="AO38" s="402" t="n"/>
      <c r="AP38" s="402" t="n"/>
      <c r="AQ38" s="402" t="n"/>
      <c r="AR38" s="402" t="n"/>
      <c r="AS38" s="402" t="n"/>
      <c r="AT38" s="402" t="n"/>
      <c r="AU38" s="402" t="n"/>
      <c r="AV38" s="402" t="n"/>
      <c r="AW38" s="402" t="n"/>
      <c r="AX38" s="402" t="n"/>
      <c r="AY38" s="402" t="n"/>
      <c r="AZ38" s="402" t="n"/>
      <c r="BA38" s="402" t="n"/>
      <c r="BB38" s="402" t="n"/>
      <c r="BC38" s="402" t="n"/>
      <c r="BD38" s="402" t="n"/>
      <c r="BE38" s="402" t="n"/>
      <c r="BF38" s="402" t="n"/>
      <c r="BG38" s="402" t="n"/>
      <c r="BH38" s="402" t="n"/>
      <c r="BI38" s="402" t="n"/>
      <c r="BJ38" s="402" t="n"/>
      <c r="BK38" s="402" t="n"/>
      <c r="BL38" s="402" t="n"/>
      <c r="BM38" s="402" t="n"/>
      <c r="BN38" s="402" t="n"/>
      <c r="BO38" s="402" t="n"/>
      <c r="BP38" s="402" t="n"/>
      <c r="BQ38" s="402" t="n"/>
      <c r="BR38" s="402" t="n"/>
      <c r="BS38" s="402" t="n"/>
      <c r="BT38" s="402" t="n"/>
      <c r="BU38" s="402" t="n"/>
      <c r="BV38" s="402" t="n"/>
      <c r="BW38" s="402" t="n"/>
      <c r="BX38" s="402" t="n"/>
      <c r="BY38" s="402" t="n"/>
      <c r="BZ38" s="402" t="n"/>
      <c r="CA38" s="402" t="n"/>
      <c r="CB38" s="402" t="n"/>
      <c r="CC38" s="402" t="n"/>
      <c r="CD38" s="402" t="n"/>
      <c r="CE38" s="402" t="n"/>
      <c r="CF38" s="402" t="n"/>
      <c r="CG38" s="402" t="n"/>
      <c r="CH38" s="402" t="n"/>
    </row>
    <row r="39" ht="15" customFormat="1" customHeight="1" s="380">
      <c r="A39" s="458" t="inlineStr">
        <is>
          <t xml:space="preserve">  Revenue</t>
        </is>
      </c>
      <c r="B39" s="382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Format="1" customHeight="1" s="380">
      <c r="A40" s="629" t="inlineStr">
        <is>
          <t xml:space="preserve">  Steyn Fees</t>
        </is>
      </c>
      <c r="B40" s="382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Format="1" customHeight="1" s="380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Format="1" customHeight="1" s="380">
      <c r="A42" s="381" t="inlineStr">
        <is>
          <t xml:space="preserve">  Cumulative Net</t>
        </is>
      </c>
      <c r="B42" s="382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Format="1" customHeight="1" s="380">
      <c r="A43" s="382" t="n"/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M43" s="382" t="n"/>
      <c r="N43" s="382" t="n"/>
      <c r="O43" s="382" t="n"/>
      <c r="P43" s="382" t="n"/>
      <c r="Q43" s="382" t="n"/>
      <c r="R43" s="382" t="n"/>
      <c r="S43" s="382" t="n"/>
      <c r="T43" s="382" t="n"/>
      <c r="U43" s="382" t="n"/>
      <c r="V43" s="382" t="n"/>
      <c r="W43" s="382" t="n"/>
      <c r="X43" s="382" t="n"/>
      <c r="Y43" s="382" t="n"/>
      <c r="Z43" s="382" t="n"/>
      <c r="AA43" s="382" t="n"/>
      <c r="AB43" s="382" t="n"/>
      <c r="AC43" s="382" t="n"/>
      <c r="AD43" s="382" t="n"/>
      <c r="AE43" s="382" t="n"/>
      <c r="AF43" s="382" t="n"/>
      <c r="AG43" s="382" t="n"/>
      <c r="AH43" s="382" t="n"/>
      <c r="AI43" s="382" t="n"/>
      <c r="AJ43" s="382" t="n"/>
      <c r="AK43" s="382" t="n"/>
      <c r="AL43" s="382" t="n"/>
      <c r="AM43" s="382" t="n"/>
      <c r="AN43" s="382" t="n"/>
      <c r="AO43" s="382" t="n"/>
      <c r="AP43" s="382" t="n"/>
      <c r="AQ43" s="382" t="n"/>
      <c r="AR43" s="382" t="n"/>
      <c r="AS43" s="382" t="n"/>
      <c r="AT43" s="382" t="n"/>
      <c r="AU43" s="382" t="n"/>
      <c r="AV43" s="382" t="n"/>
      <c r="AW43" s="382" t="n"/>
      <c r="AX43" s="382" t="n"/>
      <c r="AY43" s="382" t="n"/>
      <c r="AZ43" s="382" t="n"/>
      <c r="BA43" s="382" t="n"/>
      <c r="BB43" s="382" t="n"/>
      <c r="BC43" s="382" t="n"/>
      <c r="BD43" s="382" t="n"/>
      <c r="BE43" s="382" t="n"/>
      <c r="BF43" s="382" t="n"/>
      <c r="BG43" s="382" t="n"/>
      <c r="BH43" s="382" t="n"/>
      <c r="BI43" s="382" t="n"/>
      <c r="BJ43" s="382" t="n"/>
      <c r="BK43" s="382" t="n"/>
      <c r="BL43" s="382" t="n"/>
      <c r="BM43" s="382" t="n"/>
      <c r="BN43" s="382" t="n"/>
      <c r="BO43" s="382" t="n"/>
      <c r="BP43" s="382" t="n"/>
      <c r="BQ43" s="382" t="n"/>
      <c r="BR43" s="382" t="n"/>
      <c r="BS43" s="382" t="n"/>
      <c r="BT43" s="382" t="n"/>
      <c r="BU43" s="382" t="n"/>
      <c r="BV43" s="382" t="n"/>
      <c r="BW43" s="382" t="n"/>
      <c r="BX43" s="382" t="n"/>
      <c r="BY43" s="382" t="n"/>
      <c r="BZ43" s="382" t="n"/>
      <c r="CA43" s="382" t="n"/>
      <c r="CB43" s="382" t="n"/>
      <c r="CC43" s="382" t="n"/>
      <c r="CD43" s="382" t="n"/>
      <c r="CE43" s="382" t="n"/>
      <c r="CF43" s="382" t="n"/>
      <c r="CG43" s="382" t="n"/>
      <c r="CH43" s="382" t="n"/>
    </row>
    <row r="44" ht="27.75" customFormat="1" customHeight="1" s="380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Format="1" customHeight="1" s="380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Format="1" customHeight="1" s="380">
      <c r="A46" s="381" t="inlineStr">
        <is>
          <t>Total Cumulative Net</t>
        </is>
      </c>
      <c r="B46" s="382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  <c r="AE47" s="382" t="n"/>
      <c r="AF47" s="382" t="n"/>
      <c r="AG47" s="382" t="n"/>
      <c r="AH47" s="382" t="n"/>
      <c r="AI47" s="382" t="n"/>
      <c r="AJ47" s="382" t="n"/>
      <c r="AK47" s="382" t="n"/>
      <c r="AL47" s="382" t="n"/>
      <c r="AM47" s="382" t="n"/>
      <c r="AN47" s="382" t="n"/>
      <c r="AO47" s="382" t="n"/>
      <c r="AP47" s="382" t="n"/>
      <c r="AQ47" s="382" t="n"/>
      <c r="AR47" s="382" t="n"/>
      <c r="AS47" s="382" t="n"/>
      <c r="AT47" s="382" t="n"/>
      <c r="AU47" s="382" t="n"/>
      <c r="AV47" s="382" t="n"/>
      <c r="AW47" s="382" t="n"/>
      <c r="AX47" s="382" t="n"/>
      <c r="AY47" s="382" t="n"/>
      <c r="AZ47" s="382" t="n"/>
      <c r="BA47" s="382" t="n"/>
      <c r="BB47" s="382" t="n"/>
      <c r="BC47" s="382" t="n"/>
      <c r="BD47" s="382" t="n"/>
      <c r="BE47" s="382" t="n"/>
      <c r="BF47" s="382" t="n"/>
      <c r="BG47" s="382" t="n"/>
      <c r="BH47" s="382" t="n"/>
      <c r="BI47" s="382" t="n"/>
      <c r="BJ47" s="382" t="n"/>
      <c r="BK47" s="382" t="n"/>
      <c r="BL47" s="382" t="n"/>
      <c r="BM47" s="382" t="n"/>
      <c r="BN47" s="382" t="n"/>
      <c r="BO47" s="382" t="n"/>
      <c r="BP47" s="382" t="n"/>
      <c r="BQ47" s="382" t="n"/>
      <c r="BR47" s="382" t="n"/>
      <c r="BS47" s="382" t="n"/>
      <c r="BT47" s="382" t="n"/>
      <c r="BU47" s="382" t="n"/>
      <c r="BV47" s="382" t="n"/>
      <c r="BW47" s="382" t="n"/>
      <c r="BX47" s="382" t="n"/>
      <c r="BY47" s="382" t="n"/>
      <c r="BZ47" s="382" t="n"/>
      <c r="CA47" s="382" t="n"/>
      <c r="CB47" s="382" t="n"/>
      <c r="CC47" s="382" t="n"/>
      <c r="CD47" s="382" t="n"/>
      <c r="CE47" s="382" t="n"/>
      <c r="CF47" s="382" t="n"/>
      <c r="CG47" s="382" t="n"/>
      <c r="CH47" s="382" t="n"/>
    </row>
    <row r="48" ht="15" customFormat="1" customHeight="1" s="380">
      <c r="A48" s="381" t="inlineStr">
        <is>
          <t>First Month of Positive Net Income by Deal:</t>
        </is>
      </c>
      <c r="B48" s="382" t="n"/>
      <c r="C48" s="382" t="n"/>
      <c r="D48" s="382" t="n"/>
      <c r="E48" s="382" t="n"/>
      <c r="F48" s="382" t="n"/>
      <c r="G48" s="382" t="n"/>
      <c r="H48" s="382" t="n"/>
      <c r="I48" s="382" t="n"/>
      <c r="J48" s="382" t="n"/>
      <c r="K48" s="382" t="n"/>
      <c r="L48" s="382" t="n"/>
      <c r="M48" s="382" t="n"/>
      <c r="N48" s="382" t="n"/>
      <c r="O48" s="382" t="n"/>
      <c r="P48" s="382" t="n"/>
      <c r="Q48" s="382" t="n"/>
      <c r="R48" s="382" t="n"/>
      <c r="S48" s="382" t="n"/>
      <c r="T48" s="382" t="n"/>
      <c r="U48" s="382" t="n"/>
      <c r="V48" s="382" t="n"/>
      <c r="W48" s="382" t="n"/>
      <c r="X48" s="382" t="n"/>
      <c r="Y48" s="382" t="n"/>
      <c r="Z48" s="382" t="n"/>
      <c r="AA48" s="382" t="n"/>
      <c r="AB48" s="382" t="n"/>
      <c r="AC48" s="382" t="n"/>
      <c r="AD48" s="382" t="n"/>
      <c r="AE48" s="382" t="n"/>
      <c r="AF48" s="382" t="n"/>
      <c r="AG48" s="382" t="n"/>
      <c r="AH48" s="382" t="n"/>
      <c r="AI48" s="382" t="n"/>
      <c r="AJ48" s="382" t="n"/>
      <c r="AK48" s="382" t="n"/>
      <c r="AL48" s="382" t="n"/>
      <c r="AM48" s="382" t="n"/>
      <c r="AN48" s="382" t="n"/>
      <c r="AO48" s="382" t="n"/>
      <c r="AP48" s="382" t="n"/>
      <c r="AQ48" s="382" t="n"/>
      <c r="AR48" s="382" t="n"/>
      <c r="AS48" s="382" t="n"/>
      <c r="AT48" s="382" t="n"/>
      <c r="AU48" s="382" t="n"/>
      <c r="AV48" s="382" t="n"/>
      <c r="AW48" s="382" t="n"/>
      <c r="AX48" s="382" t="n"/>
      <c r="AY48" s="382" t="n"/>
      <c r="AZ48" s="382" t="n"/>
      <c r="BA48" s="382" t="n"/>
      <c r="BB48" s="382" t="n"/>
      <c r="BC48" s="382" t="n"/>
      <c r="BD48" s="382" t="n"/>
      <c r="BE48" s="382" t="n"/>
      <c r="BF48" s="382" t="n"/>
      <c r="BG48" s="382" t="n"/>
      <c r="BH48" s="382" t="n"/>
      <c r="BI48" s="382" t="n"/>
      <c r="BJ48" s="382" t="n"/>
      <c r="BK48" s="382" t="n"/>
      <c r="BL48" s="382" t="n"/>
      <c r="BM48" s="382" t="n"/>
      <c r="BN48" s="382" t="n"/>
      <c r="BO48" s="382" t="n"/>
      <c r="BP48" s="382" t="n"/>
      <c r="BQ48" s="382" t="n"/>
      <c r="BR48" s="382" t="n"/>
      <c r="BS48" s="382" t="n"/>
      <c r="BT48" s="382" t="n"/>
      <c r="BU48" s="382" t="n"/>
      <c r="BV48" s="382" t="n"/>
      <c r="BW48" s="382" t="n"/>
      <c r="BX48" s="382" t="n"/>
      <c r="BY48" s="382" t="n"/>
      <c r="BZ48" s="382" t="n"/>
      <c r="CA48" s="382" t="n"/>
      <c r="CB48" s="382" t="n"/>
      <c r="CC48" s="382" t="n"/>
      <c r="CD48" s="382" t="n"/>
      <c r="CE48" s="382" t="n"/>
      <c r="CF48" s="382" t="n"/>
      <c r="CG48" s="382" t="n"/>
      <c r="CH48" s="382" t="n"/>
    </row>
    <row r="49" ht="15" customFormat="1" customHeight="1" s="380">
      <c r="A49" s="458" t="inlineStr">
        <is>
          <t xml:space="preserve">  Crenshaw:</t>
        </is>
      </c>
      <c r="B49" s="631" t="n">
        <v>46113</v>
      </c>
      <c r="C49" s="382" t="n"/>
      <c r="D49" s="382" t="n"/>
      <c r="E49" s="382" t="n"/>
      <c r="F49" s="382" t="n"/>
      <c r="G49" s="382" t="n"/>
      <c r="H49" s="382" t="n"/>
      <c r="I49" s="382" t="n"/>
      <c r="J49" s="382" t="n"/>
      <c r="K49" s="382" t="n"/>
      <c r="L49" s="382" t="n"/>
      <c r="M49" s="382" t="n"/>
      <c r="N49" s="382" t="n"/>
      <c r="O49" s="382" t="n"/>
      <c r="P49" s="382" t="n"/>
      <c r="Q49" s="382" t="n"/>
      <c r="R49" s="382" t="n"/>
      <c r="S49" s="382" t="n"/>
      <c r="T49" s="382" t="n"/>
      <c r="U49" s="382" t="n"/>
      <c r="V49" s="382" t="n"/>
      <c r="W49" s="382" t="n"/>
      <c r="X49" s="382" t="n"/>
      <c r="Y49" s="382" t="n"/>
      <c r="Z49" s="382" t="n"/>
      <c r="AA49" s="382" t="n"/>
      <c r="AB49" s="382" t="n"/>
      <c r="AC49" s="382" t="n"/>
      <c r="AD49" s="382" t="n"/>
      <c r="AE49" s="382" t="n"/>
      <c r="AF49" s="382" t="n"/>
      <c r="AG49" s="382" t="n"/>
      <c r="AH49" s="382" t="n"/>
      <c r="AI49" s="382" t="n"/>
      <c r="AJ49" s="382" t="n"/>
      <c r="AK49" s="382" t="n"/>
      <c r="AL49" s="382" t="n"/>
      <c r="AM49" s="382" t="n"/>
      <c r="AN49" s="382" t="n"/>
      <c r="AO49" s="382" t="n"/>
      <c r="AP49" s="382" t="n"/>
      <c r="AQ49" s="382" t="n"/>
      <c r="AR49" s="382" t="n"/>
      <c r="AS49" s="382" t="n"/>
      <c r="AT49" s="382" t="n"/>
      <c r="AU49" s="382" t="n"/>
      <c r="AV49" s="382" t="n"/>
      <c r="AW49" s="382" t="n"/>
      <c r="AX49" s="382" t="n"/>
      <c r="AY49" s="382" t="n"/>
      <c r="AZ49" s="382" t="n"/>
      <c r="BA49" s="382" t="n"/>
      <c r="BB49" s="382" t="n"/>
      <c r="BC49" s="382" t="n"/>
      <c r="BD49" s="382" t="n"/>
      <c r="BE49" s="382" t="n"/>
      <c r="BF49" s="382" t="n"/>
      <c r="BG49" s="382" t="n"/>
      <c r="BH49" s="382" t="n"/>
      <c r="BI49" s="382" t="n"/>
      <c r="BJ49" s="382" t="n"/>
      <c r="BK49" s="382" t="n"/>
      <c r="BL49" s="382" t="n"/>
      <c r="BM49" s="382" t="n"/>
      <c r="BN49" s="382" t="n"/>
      <c r="BO49" s="382" t="n"/>
      <c r="BP49" s="382" t="n"/>
      <c r="BQ49" s="382" t="n"/>
      <c r="BR49" s="382" t="n"/>
      <c r="BS49" s="382" t="n"/>
      <c r="BT49" s="382" t="n"/>
      <c r="BU49" s="382" t="n"/>
      <c r="BV49" s="382" t="n"/>
      <c r="BW49" s="382" t="n"/>
      <c r="BX49" s="382" t="n"/>
      <c r="BY49" s="382" t="n"/>
      <c r="BZ49" s="382" t="n"/>
      <c r="CA49" s="382" t="n"/>
      <c r="CB49" s="382" t="n"/>
      <c r="CC49" s="382" t="n"/>
      <c r="CD49" s="382" t="n"/>
      <c r="CE49" s="382" t="n"/>
      <c r="CF49" s="382" t="n"/>
      <c r="CG49" s="382" t="n"/>
      <c r="CH49" s="382" t="n"/>
    </row>
    <row r="50" ht="15" customFormat="1" customHeight="1" s="380">
      <c r="A50" s="458" t="inlineStr">
        <is>
          <t xml:space="preserve">  Ramsgate:</t>
        </is>
      </c>
      <c r="B50" s="631" t="n">
        <v>46113</v>
      </c>
      <c r="C50" s="382" t="n"/>
      <c r="D50" s="382" t="n"/>
      <c r="E50" s="382" t="n"/>
      <c r="F50" s="382" t="n"/>
      <c r="G50" s="382" t="n"/>
      <c r="H50" s="382" t="n"/>
      <c r="I50" s="382" t="n"/>
      <c r="J50" s="382" t="n"/>
      <c r="K50" s="382" t="n"/>
      <c r="L50" s="382" t="n"/>
      <c r="M50" s="382" t="n"/>
      <c r="N50" s="382" t="n"/>
      <c r="O50" s="382" t="n"/>
      <c r="P50" s="382" t="n"/>
      <c r="Q50" s="382" t="n"/>
      <c r="R50" s="382" t="n"/>
      <c r="S50" s="382" t="n"/>
      <c r="T50" s="382" t="n"/>
      <c r="U50" s="382" t="n"/>
      <c r="V50" s="382" t="n"/>
      <c r="W50" s="382" t="n"/>
      <c r="X50" s="382" t="n"/>
      <c r="Y50" s="382" t="n"/>
      <c r="Z50" s="382" t="n"/>
      <c r="AA50" s="382" t="n"/>
      <c r="AB50" s="382" t="n"/>
      <c r="AC50" s="382" t="n"/>
      <c r="AD50" s="382" t="n"/>
      <c r="AE50" s="382" t="n"/>
      <c r="AF50" s="382" t="n"/>
      <c r="AG50" s="382" t="n"/>
      <c r="AH50" s="382" t="n"/>
      <c r="AI50" s="382" t="n"/>
      <c r="AJ50" s="382" t="n"/>
      <c r="AK50" s="382" t="n"/>
      <c r="AL50" s="382" t="n"/>
      <c r="AM50" s="382" t="n"/>
      <c r="AN50" s="382" t="n"/>
      <c r="AO50" s="382" t="n"/>
      <c r="AP50" s="382" t="n"/>
      <c r="AQ50" s="382" t="n"/>
      <c r="AR50" s="382" t="n"/>
      <c r="AS50" s="382" t="n"/>
      <c r="AT50" s="382" t="n"/>
      <c r="AU50" s="382" t="n"/>
      <c r="AV50" s="382" t="n"/>
      <c r="AW50" s="382" t="n"/>
      <c r="AX50" s="382" t="n"/>
      <c r="AY50" s="382" t="n"/>
      <c r="AZ50" s="382" t="n"/>
      <c r="BA50" s="382" t="n"/>
      <c r="BB50" s="382" t="n"/>
      <c r="BC50" s="382" t="n"/>
      <c r="BD50" s="382" t="n"/>
      <c r="BE50" s="382" t="n"/>
      <c r="BF50" s="382" t="n"/>
      <c r="BG50" s="382" t="n"/>
      <c r="BH50" s="382" t="n"/>
      <c r="BI50" s="382" t="n"/>
      <c r="BJ50" s="382" t="n"/>
      <c r="BK50" s="382" t="n"/>
      <c r="BL50" s="382" t="n"/>
      <c r="BM50" s="382" t="n"/>
      <c r="BN50" s="382" t="n"/>
      <c r="BO50" s="382" t="n"/>
      <c r="BP50" s="382" t="n"/>
      <c r="BQ50" s="382" t="n"/>
      <c r="BR50" s="382" t="n"/>
      <c r="BS50" s="382" t="n"/>
      <c r="BT50" s="382" t="n"/>
      <c r="BU50" s="382" t="n"/>
      <c r="BV50" s="382" t="n"/>
      <c r="BW50" s="382" t="n"/>
      <c r="BX50" s="382" t="n"/>
      <c r="BY50" s="382" t="n"/>
      <c r="BZ50" s="382" t="n"/>
      <c r="CA50" s="382" t="n"/>
      <c r="CB50" s="382" t="n"/>
      <c r="CC50" s="382" t="n"/>
      <c r="CD50" s="382" t="n"/>
      <c r="CE50" s="382" t="n"/>
      <c r="CF50" s="382" t="n"/>
      <c r="CG50" s="382" t="n"/>
      <c r="CH50" s="382" t="n"/>
    </row>
    <row r="51" ht="15" customFormat="1" customHeight="1" s="380">
      <c r="A51" s="458" t="inlineStr">
        <is>
          <t xml:space="preserve">  Klump:</t>
        </is>
      </c>
      <c r="B51" s="631" t="n">
        <v>46235</v>
      </c>
      <c r="C51" s="382" t="n"/>
      <c r="D51" s="382" t="n"/>
      <c r="E51" s="382" t="n"/>
      <c r="F51" s="382" t="n"/>
      <c r="G51" s="382" t="n"/>
      <c r="H51" s="382" t="n"/>
      <c r="I51" s="382" t="n"/>
      <c r="J51" s="382" t="n"/>
      <c r="K51" s="382" t="n"/>
      <c r="L51" s="382" t="n"/>
      <c r="M51" s="382" t="n"/>
      <c r="N51" s="382" t="n"/>
      <c r="O51" s="382" t="n"/>
      <c r="P51" s="382" t="n"/>
      <c r="Q51" s="382" t="n"/>
      <c r="R51" s="382" t="n"/>
      <c r="S51" s="382" t="n"/>
      <c r="T51" s="382" t="n"/>
      <c r="U51" s="382" t="n"/>
      <c r="V51" s="382" t="n"/>
      <c r="W51" s="382" t="n"/>
      <c r="X51" s="382" t="n"/>
      <c r="Y51" s="382" t="n"/>
      <c r="Z51" s="382" t="n"/>
      <c r="AA51" s="382" t="n"/>
      <c r="AB51" s="382" t="n"/>
      <c r="AC51" s="382" t="n"/>
      <c r="AD51" s="382" t="n"/>
      <c r="AE51" s="382" t="n"/>
      <c r="AF51" s="382" t="n"/>
      <c r="AG51" s="382" t="n"/>
      <c r="AH51" s="382" t="n"/>
      <c r="AI51" s="382" t="n"/>
      <c r="AJ51" s="382" t="n"/>
      <c r="AK51" s="382" t="n"/>
      <c r="AL51" s="382" t="n"/>
      <c r="AM51" s="382" t="n"/>
      <c r="AN51" s="382" t="n"/>
      <c r="AO51" s="382" t="n"/>
      <c r="AP51" s="382" t="n"/>
      <c r="AQ51" s="382" t="n"/>
      <c r="AR51" s="382" t="n"/>
      <c r="AS51" s="382" t="n"/>
      <c r="AT51" s="382" t="n"/>
      <c r="AU51" s="382" t="n"/>
      <c r="AV51" s="382" t="n"/>
      <c r="AW51" s="382" t="n"/>
      <c r="AX51" s="382" t="n"/>
      <c r="AY51" s="382" t="n"/>
      <c r="AZ51" s="382" t="n"/>
      <c r="BA51" s="382" t="n"/>
      <c r="BB51" s="382" t="n"/>
      <c r="BC51" s="382" t="n"/>
      <c r="BD51" s="382" t="n"/>
      <c r="BE51" s="382" t="n"/>
      <c r="BF51" s="382" t="n"/>
      <c r="BG51" s="382" t="n"/>
      <c r="BH51" s="382" t="n"/>
      <c r="BI51" s="382" t="n"/>
      <c r="BJ51" s="382" t="n"/>
      <c r="BK51" s="382" t="n"/>
      <c r="BL51" s="382" t="n"/>
      <c r="BM51" s="382" t="n"/>
      <c r="BN51" s="382" t="n"/>
      <c r="BO51" s="382" t="n"/>
      <c r="BP51" s="382" t="n"/>
      <c r="BQ51" s="382" t="n"/>
      <c r="BR51" s="382" t="n"/>
      <c r="BS51" s="382" t="n"/>
      <c r="BT51" s="382" t="n"/>
      <c r="BU51" s="382" t="n"/>
      <c r="BV51" s="382" t="n"/>
      <c r="BW51" s="382" t="n"/>
      <c r="BX51" s="382" t="n"/>
      <c r="BY51" s="382" t="n"/>
      <c r="BZ51" s="382" t="n"/>
      <c r="CA51" s="382" t="n"/>
      <c r="CB51" s="382" t="n"/>
      <c r="CC51" s="382" t="n"/>
      <c r="CD51" s="382" t="n"/>
      <c r="CE51" s="382" t="n"/>
      <c r="CF51" s="382" t="n"/>
      <c r="CG51" s="382" t="n"/>
      <c r="CH51" s="382" t="n"/>
    </row>
    <row r="52" ht="15" customFormat="1" customHeight="1" s="380">
      <c r="A52" s="458" t="inlineStr">
        <is>
          <t xml:space="preserve">  Scott:</t>
        </is>
      </c>
      <c r="B52" s="631" t="n">
        <v>46266</v>
      </c>
      <c r="C52" s="382" t="n"/>
      <c r="D52" s="382" t="n"/>
      <c r="E52" s="382" t="n"/>
      <c r="F52" s="382" t="n"/>
      <c r="G52" s="382" t="n"/>
      <c r="H52" s="382" t="n"/>
      <c r="I52" s="382" t="n"/>
      <c r="J52" s="382" t="n"/>
      <c r="K52" s="382" t="n"/>
      <c r="L52" s="382" t="n"/>
      <c r="M52" s="382" t="n"/>
      <c r="N52" s="382" t="n"/>
      <c r="O52" s="382" t="n"/>
      <c r="P52" s="382" t="n"/>
      <c r="Q52" s="382" t="n"/>
      <c r="R52" s="382" t="n"/>
      <c r="S52" s="382" t="n"/>
      <c r="T52" s="382" t="n"/>
      <c r="U52" s="382" t="n"/>
      <c r="V52" s="382" t="n"/>
      <c r="W52" s="382" t="n"/>
      <c r="X52" s="382" t="n"/>
      <c r="Y52" s="382" t="n"/>
      <c r="Z52" s="382" t="n"/>
      <c r="AA52" s="382" t="n"/>
      <c r="AB52" s="382" t="n"/>
      <c r="AC52" s="382" t="n"/>
      <c r="AD52" s="382" t="n"/>
      <c r="AE52" s="382" t="n"/>
      <c r="AF52" s="382" t="n"/>
      <c r="AG52" s="382" t="n"/>
      <c r="AH52" s="382" t="n"/>
      <c r="AI52" s="382" t="n"/>
      <c r="AJ52" s="382" t="n"/>
      <c r="AK52" s="382" t="n"/>
      <c r="AL52" s="382" t="n"/>
      <c r="AM52" s="382" t="n"/>
      <c r="AN52" s="382" t="n"/>
      <c r="AO52" s="382" t="n"/>
      <c r="AP52" s="382" t="n"/>
      <c r="AQ52" s="382" t="n"/>
      <c r="AR52" s="382" t="n"/>
      <c r="AS52" s="382" t="n"/>
      <c r="AT52" s="382" t="n"/>
      <c r="AU52" s="382" t="n"/>
      <c r="AV52" s="382" t="n"/>
      <c r="AW52" s="382" t="n"/>
      <c r="AX52" s="382" t="n"/>
      <c r="AY52" s="382" t="n"/>
      <c r="AZ52" s="382" t="n"/>
      <c r="BA52" s="382" t="n"/>
      <c r="BB52" s="382" t="n"/>
      <c r="BC52" s="382" t="n"/>
      <c r="BD52" s="382" t="n"/>
      <c r="BE52" s="382" t="n"/>
      <c r="BF52" s="382" t="n"/>
      <c r="BG52" s="382" t="n"/>
      <c r="BH52" s="382" t="n"/>
      <c r="BI52" s="382" t="n"/>
      <c r="BJ52" s="382" t="n"/>
      <c r="BK52" s="382" t="n"/>
      <c r="BL52" s="382" t="n"/>
      <c r="BM52" s="382" t="n"/>
      <c r="BN52" s="382" t="n"/>
      <c r="BO52" s="382" t="n"/>
      <c r="BP52" s="382" t="n"/>
      <c r="BQ52" s="382" t="n"/>
      <c r="BR52" s="382" t="n"/>
      <c r="BS52" s="382" t="n"/>
      <c r="BT52" s="382" t="n"/>
      <c r="BU52" s="382" t="n"/>
      <c r="BV52" s="382" t="n"/>
      <c r="BW52" s="382" t="n"/>
      <c r="BX52" s="382" t="n"/>
      <c r="BY52" s="382" t="n"/>
      <c r="BZ52" s="382" t="n"/>
      <c r="CA52" s="382" t="n"/>
      <c r="CB52" s="382" t="n"/>
      <c r="CC52" s="382" t="n"/>
      <c r="CD52" s="382" t="n"/>
      <c r="CE52" s="382" t="n"/>
      <c r="CF52" s="382" t="n"/>
      <c r="CG52" s="382" t="n"/>
      <c r="CH52" s="382" t="n"/>
    </row>
    <row r="53" ht="15" customFormat="1" customHeight="1" s="380">
      <c r="A53" s="458" t="inlineStr">
        <is>
          <t xml:space="preserve">  Francis:</t>
        </is>
      </c>
      <c r="B53" s="631" t="n">
        <v>48092</v>
      </c>
      <c r="C53" s="382" t="n"/>
      <c r="D53" s="382" t="n"/>
      <c r="E53" s="382" t="n"/>
      <c r="F53" s="382" t="n"/>
      <c r="G53" s="382" t="n"/>
      <c r="H53" s="382" t="n"/>
      <c r="I53" s="382" t="n"/>
      <c r="J53" s="382" t="n"/>
      <c r="K53" s="382" t="n"/>
      <c r="L53" s="382" t="n"/>
      <c r="M53" s="382" t="n"/>
      <c r="N53" s="382" t="n"/>
      <c r="O53" s="382" t="n"/>
      <c r="P53" s="382" t="n"/>
      <c r="Q53" s="382" t="n"/>
      <c r="R53" s="382" t="n"/>
      <c r="S53" s="382" t="n"/>
      <c r="T53" s="382" t="n"/>
      <c r="U53" s="382" t="n"/>
      <c r="V53" s="382" t="n"/>
      <c r="W53" s="382" t="n"/>
      <c r="X53" s="382" t="n"/>
      <c r="Y53" s="382" t="n"/>
      <c r="Z53" s="382" t="n"/>
      <c r="AA53" s="382" t="n"/>
      <c r="AB53" s="382" t="n"/>
      <c r="AC53" s="382" t="n"/>
      <c r="AD53" s="382" t="n"/>
      <c r="AE53" s="382" t="n"/>
      <c r="AF53" s="382" t="n"/>
      <c r="AG53" s="382" t="n"/>
      <c r="AH53" s="382" t="n"/>
      <c r="AI53" s="382" t="n"/>
      <c r="AJ53" s="382" t="n"/>
      <c r="AK53" s="382" t="n"/>
      <c r="AL53" s="382" t="n"/>
      <c r="AM53" s="382" t="n"/>
      <c r="AN53" s="382" t="n"/>
      <c r="AO53" s="382" t="n"/>
      <c r="AP53" s="382" t="n"/>
      <c r="AQ53" s="382" t="n"/>
      <c r="AR53" s="382" t="n"/>
      <c r="AS53" s="382" t="n"/>
      <c r="AT53" s="382" t="n"/>
      <c r="AU53" s="382" t="n"/>
      <c r="AV53" s="382" t="n"/>
      <c r="AW53" s="382" t="n"/>
      <c r="AX53" s="382" t="n"/>
      <c r="AY53" s="382" t="n"/>
      <c r="AZ53" s="382" t="n"/>
      <c r="BA53" s="382" t="n"/>
      <c r="BB53" s="382" t="n"/>
      <c r="BC53" s="382" t="n"/>
      <c r="BD53" s="382" t="n"/>
      <c r="BE53" s="382" t="n"/>
      <c r="BF53" s="382" t="n"/>
      <c r="BG53" s="382" t="n"/>
      <c r="BH53" s="382" t="n"/>
      <c r="BI53" s="382" t="n"/>
      <c r="BJ53" s="382" t="n"/>
      <c r="BK53" s="382" t="n"/>
      <c r="BL53" s="382" t="n"/>
      <c r="BM53" s="382" t="n"/>
      <c r="BN53" s="382" t="n"/>
      <c r="BO53" s="382" t="n"/>
      <c r="BP53" s="382" t="n"/>
      <c r="BQ53" s="382" t="n"/>
      <c r="BR53" s="382" t="n"/>
      <c r="BS53" s="382" t="n"/>
      <c r="BT53" s="382" t="n"/>
      <c r="BU53" s="382" t="n"/>
      <c r="BV53" s="382" t="n"/>
      <c r="BW53" s="382" t="n"/>
      <c r="BX53" s="382" t="n"/>
      <c r="BY53" s="382" t="n"/>
      <c r="BZ53" s="382" t="n"/>
      <c r="CA53" s="382" t="n"/>
      <c r="CB53" s="382" t="n"/>
      <c r="CC53" s="382" t="n"/>
      <c r="CD53" s="382" t="n"/>
      <c r="CE53" s="382" t="n"/>
      <c r="CF53" s="382" t="n"/>
      <c r="CG53" s="382" t="n"/>
      <c r="CH53" s="382" t="n"/>
    </row>
    <row r="54" ht="15" customFormat="1" customHeight="1" s="380">
      <c r="A54" s="458" t="inlineStr">
        <is>
          <t xml:space="preserve">  Reseda:</t>
        </is>
      </c>
      <c r="B54" s="631" t="n">
        <v>47635</v>
      </c>
      <c r="C54" s="382" t="n"/>
      <c r="D54" s="382" t="n"/>
      <c r="E54" s="382" t="n"/>
      <c r="F54" s="382" t="n"/>
      <c r="G54" s="382" t="n"/>
      <c r="H54" s="382" t="n"/>
      <c r="I54" s="382" t="n"/>
      <c r="J54" s="382" t="n"/>
      <c r="K54" s="382" t="n"/>
      <c r="L54" s="382" t="n"/>
      <c r="M54" s="382" t="n"/>
      <c r="N54" s="382" t="n"/>
      <c r="O54" s="382" t="n"/>
      <c r="P54" s="382" t="n"/>
      <c r="Q54" s="382" t="n"/>
      <c r="R54" s="382" t="n"/>
      <c r="S54" s="382" t="n"/>
      <c r="T54" s="382" t="n"/>
      <c r="U54" s="382" t="n"/>
      <c r="V54" s="382" t="n"/>
      <c r="W54" s="382" t="n"/>
      <c r="X54" s="382" t="n"/>
      <c r="Y54" s="382" t="n"/>
      <c r="Z54" s="382" t="n"/>
      <c r="AA54" s="382" t="n"/>
      <c r="AB54" s="382" t="n"/>
      <c r="AC54" s="382" t="n"/>
      <c r="AD54" s="382" t="n"/>
      <c r="AE54" s="382" t="n"/>
      <c r="AF54" s="382" t="n"/>
      <c r="AG54" s="382" t="n"/>
      <c r="AH54" s="382" t="n"/>
      <c r="AI54" s="382" t="n"/>
      <c r="AJ54" s="382" t="n"/>
      <c r="AK54" s="382" t="n"/>
      <c r="AL54" s="382" t="n"/>
      <c r="AM54" s="382" t="n"/>
      <c r="AN54" s="382" t="n"/>
      <c r="AO54" s="382" t="n"/>
      <c r="AP54" s="382" t="n"/>
      <c r="AQ54" s="382" t="n"/>
      <c r="AR54" s="382" t="n"/>
      <c r="AS54" s="382" t="n"/>
      <c r="AT54" s="382" t="n"/>
      <c r="AU54" s="382" t="n"/>
      <c r="AV54" s="382" t="n"/>
      <c r="AW54" s="382" t="n"/>
      <c r="AX54" s="382" t="n"/>
      <c r="AY54" s="382" t="n"/>
      <c r="AZ54" s="382" t="n"/>
      <c r="BA54" s="382" t="n"/>
      <c r="BB54" s="382" t="n"/>
      <c r="BC54" s="382" t="n"/>
      <c r="BD54" s="382" t="n"/>
      <c r="BE54" s="382" t="n"/>
      <c r="BF54" s="382" t="n"/>
      <c r="BG54" s="382" t="n"/>
      <c r="BH54" s="382" t="n"/>
      <c r="BI54" s="382" t="n"/>
      <c r="BJ54" s="382" t="n"/>
      <c r="BK54" s="382" t="n"/>
      <c r="BL54" s="382" t="n"/>
      <c r="BM54" s="382" t="n"/>
      <c r="BN54" s="382" t="n"/>
      <c r="BO54" s="382" t="n"/>
      <c r="BP54" s="382" t="n"/>
      <c r="BQ54" s="382" t="n"/>
      <c r="BR54" s="382" t="n"/>
      <c r="BS54" s="382" t="n"/>
      <c r="BT54" s="382" t="n"/>
      <c r="BU54" s="382" t="n"/>
      <c r="BV54" s="382" t="n"/>
      <c r="BW54" s="382" t="n"/>
      <c r="BX54" s="382" t="n"/>
      <c r="BY54" s="382" t="n"/>
      <c r="BZ54" s="382" t="n"/>
      <c r="CA54" s="382" t="n"/>
      <c r="CB54" s="382" t="n"/>
      <c r="CC54" s="382" t="n"/>
      <c r="CD54" s="382" t="n"/>
      <c r="CE54" s="382" t="n"/>
      <c r="CF54" s="382" t="n"/>
      <c r="CG54" s="382" t="n"/>
      <c r="CH54" s="382" t="n"/>
    </row>
    <row r="55" ht="15" customFormat="1" customHeight="1" s="380">
      <c r="A55" s="458" t="inlineStr">
        <is>
          <t xml:space="preserve">  3rd St:</t>
        </is>
      </c>
      <c r="B55" s="632" t="inlineStr">
        <is>
          <t>Beyond model period</t>
        </is>
      </c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M55" s="382" t="n"/>
      <c r="N55" s="382" t="n"/>
      <c r="O55" s="382" t="n"/>
      <c r="P55" s="382" t="n"/>
      <c r="Q55" s="382" t="n"/>
      <c r="R55" s="382" t="n"/>
      <c r="S55" s="382" t="n"/>
      <c r="T55" s="382" t="n"/>
      <c r="U55" s="382" t="n"/>
      <c r="V55" s="382" t="n"/>
      <c r="W55" s="382" t="n"/>
      <c r="X55" s="382" t="n"/>
      <c r="Y55" s="382" t="n"/>
      <c r="Z55" s="382" t="n"/>
      <c r="AA55" s="382" t="n"/>
      <c r="AB55" s="382" t="n"/>
      <c r="AC55" s="382" t="n"/>
      <c r="AD55" s="382" t="n"/>
      <c r="AE55" s="382" t="n"/>
      <c r="AF55" s="382" t="n"/>
      <c r="AG55" s="382" t="n"/>
      <c r="AH55" s="382" t="n"/>
      <c r="AI55" s="382" t="n"/>
      <c r="AJ55" s="382" t="n"/>
      <c r="AK55" s="382" t="n"/>
      <c r="AL55" s="382" t="n"/>
      <c r="AM55" s="382" t="n"/>
      <c r="AN55" s="382" t="n"/>
      <c r="AO55" s="382" t="n"/>
      <c r="AP55" s="382" t="n"/>
      <c r="AQ55" s="382" t="n"/>
      <c r="AR55" s="382" t="n"/>
      <c r="AS55" s="382" t="n"/>
      <c r="AT55" s="382" t="n"/>
      <c r="AU55" s="382" t="n"/>
      <c r="AV55" s="382" t="n"/>
      <c r="AW55" s="382" t="n"/>
      <c r="AX55" s="382" t="n"/>
      <c r="AY55" s="382" t="n"/>
      <c r="AZ55" s="382" t="n"/>
      <c r="BA55" s="382" t="n"/>
      <c r="BB55" s="382" t="n"/>
      <c r="BC55" s="382" t="n"/>
      <c r="BD55" s="382" t="n"/>
      <c r="BE55" s="382" t="n"/>
      <c r="BF55" s="382" t="n"/>
      <c r="BG55" s="382" t="n"/>
      <c r="BH55" s="382" t="n"/>
      <c r="BI55" s="382" t="n"/>
      <c r="BJ55" s="382" t="n"/>
      <c r="BK55" s="382" t="n"/>
      <c r="BL55" s="382" t="n"/>
      <c r="BM55" s="382" t="n"/>
      <c r="BN55" s="382" t="n"/>
      <c r="BO55" s="382" t="n"/>
      <c r="BP55" s="382" t="n"/>
      <c r="BQ55" s="382" t="n"/>
      <c r="BR55" s="382" t="n"/>
      <c r="BS55" s="382" t="n"/>
      <c r="BT55" s="382" t="n"/>
      <c r="BU55" s="382" t="n"/>
      <c r="BV55" s="382" t="n"/>
      <c r="BW55" s="382" t="n"/>
      <c r="BX55" s="382" t="n"/>
      <c r="BY55" s="382" t="n"/>
      <c r="BZ55" s="382" t="n"/>
      <c r="CA55" s="382" t="n"/>
      <c r="CB55" s="382" t="n"/>
      <c r="CC55" s="382" t="n"/>
      <c r="CD55" s="382" t="n"/>
      <c r="CE55" s="382" t="n"/>
      <c r="CF55" s="382" t="n"/>
      <c r="CG55" s="382" t="n"/>
      <c r="CH55" s="382" t="n"/>
    </row>
    <row r="56" ht="15" customFormat="1" customHeight="1" s="380">
      <c r="A56" s="381" t="inlineStr">
        <is>
          <t xml:space="preserve">  All Deals Combined:</t>
        </is>
      </c>
      <c r="B56" s="633" t="n">
        <v>46113</v>
      </c>
      <c r="C56" s="382" t="n"/>
      <c r="D56" s="382" t="n"/>
      <c r="E56" s="382" t="n"/>
      <c r="F56" s="382" t="n"/>
      <c r="G56" s="382" t="n"/>
      <c r="H56" s="382" t="n"/>
      <c r="I56" s="382" t="n"/>
      <c r="J56" s="382" t="n"/>
      <c r="K56" s="382" t="n"/>
      <c r="L56" s="382" t="n"/>
      <c r="M56" s="382" t="n"/>
      <c r="N56" s="382" t="n"/>
      <c r="O56" s="382" t="n"/>
      <c r="P56" s="382" t="n"/>
      <c r="Q56" s="382" t="n"/>
      <c r="R56" s="382" t="n"/>
      <c r="S56" s="382" t="n"/>
      <c r="T56" s="382" t="n"/>
      <c r="U56" s="382" t="n"/>
      <c r="V56" s="382" t="n"/>
      <c r="W56" s="382" t="n"/>
      <c r="X56" s="382" t="n"/>
      <c r="Y56" s="382" t="n"/>
      <c r="Z56" s="382" t="n"/>
      <c r="AA56" s="382" t="n"/>
      <c r="AB56" s="382" t="n"/>
      <c r="AC56" s="382" t="n"/>
      <c r="AD56" s="382" t="n"/>
      <c r="AE56" s="382" t="n"/>
      <c r="AF56" s="382" t="n"/>
      <c r="AG56" s="382" t="n"/>
      <c r="AH56" s="382" t="n"/>
      <c r="AI56" s="382" t="n"/>
      <c r="AJ56" s="382" t="n"/>
      <c r="AK56" s="382" t="n"/>
      <c r="AL56" s="382" t="n"/>
      <c r="AM56" s="382" t="n"/>
      <c r="AN56" s="382" t="n"/>
      <c r="AO56" s="382" t="n"/>
      <c r="AP56" s="382" t="n"/>
      <c r="AQ56" s="382" t="n"/>
      <c r="AR56" s="382" t="n"/>
      <c r="AS56" s="382" t="n"/>
      <c r="AT56" s="382" t="n"/>
      <c r="AU56" s="382" t="n"/>
      <c r="AV56" s="382" t="n"/>
      <c r="AW56" s="382" t="n"/>
      <c r="AX56" s="382" t="n"/>
      <c r="AY56" s="382" t="n"/>
      <c r="AZ56" s="382" t="n"/>
      <c r="BA56" s="382" t="n"/>
      <c r="BB56" s="382" t="n"/>
      <c r="BC56" s="382" t="n"/>
      <c r="BD56" s="382" t="n"/>
      <c r="BE56" s="382" t="n"/>
      <c r="BF56" s="382" t="n"/>
      <c r="BG56" s="382" t="n"/>
      <c r="BH56" s="382" t="n"/>
      <c r="BI56" s="382" t="n"/>
      <c r="BJ56" s="382" t="n"/>
      <c r="BK56" s="382" t="n"/>
      <c r="BL56" s="382" t="n"/>
      <c r="BM56" s="382" t="n"/>
      <c r="BN56" s="382" t="n"/>
      <c r="BO56" s="382" t="n"/>
      <c r="BP56" s="382" t="n"/>
      <c r="BQ56" s="382" t="n"/>
      <c r="BR56" s="382" t="n"/>
      <c r="BS56" s="382" t="n"/>
      <c r="BT56" s="382" t="n"/>
      <c r="BU56" s="382" t="n"/>
      <c r="BV56" s="382" t="n"/>
      <c r="BW56" s="382" t="n"/>
      <c r="BX56" s="382" t="n"/>
      <c r="BY56" s="382" t="n"/>
      <c r="BZ56" s="382" t="n"/>
      <c r="CA56" s="382" t="n"/>
      <c r="CB56" s="382" t="n"/>
      <c r="CC56" s="382" t="n"/>
      <c r="CD56" s="382" t="n"/>
      <c r="CE56" s="382" t="n"/>
      <c r="CF56" s="382" t="n"/>
      <c r="CG56" s="382" t="n"/>
      <c r="CH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  <c r="J57" s="382" t="n"/>
      <c r="K57" s="382" t="n"/>
      <c r="L57" s="382" t="n"/>
      <c r="M57" s="382" t="n"/>
      <c r="N57" s="382" t="n"/>
      <c r="O57" s="382" t="n"/>
      <c r="P57" s="382" t="n"/>
      <c r="Q57" s="382" t="n"/>
      <c r="R57" s="382" t="n"/>
      <c r="S57" s="382" t="n"/>
      <c r="T57" s="382" t="n"/>
      <c r="U57" s="382" t="n"/>
      <c r="V57" s="382" t="n"/>
      <c r="W57" s="382" t="n"/>
      <c r="X57" s="382" t="n"/>
      <c r="Y57" s="382" t="n"/>
      <c r="Z57" s="382" t="n"/>
      <c r="AA57" s="382" t="n"/>
      <c r="AB57" s="382" t="n"/>
      <c r="AC57" s="382" t="n"/>
      <c r="AD57" s="382" t="n"/>
      <c r="AE57" s="382" t="n"/>
      <c r="AF57" s="382" t="n"/>
      <c r="AG57" s="382" t="n"/>
      <c r="AH57" s="382" t="n"/>
      <c r="AI57" s="382" t="n"/>
      <c r="AJ57" s="382" t="n"/>
      <c r="AK57" s="382" t="n"/>
      <c r="AL57" s="382" t="n"/>
      <c r="AM57" s="382" t="n"/>
      <c r="AN57" s="382" t="n"/>
      <c r="AO57" s="382" t="n"/>
      <c r="AP57" s="382" t="n"/>
      <c r="AQ57" s="382" t="n"/>
      <c r="AR57" s="382" t="n"/>
      <c r="AS57" s="382" t="n"/>
      <c r="AT57" s="382" t="n"/>
      <c r="AU57" s="382" t="n"/>
      <c r="AV57" s="382" t="n"/>
      <c r="AW57" s="382" t="n"/>
      <c r="AX57" s="382" t="n"/>
      <c r="AY57" s="382" t="n"/>
      <c r="AZ57" s="382" t="n"/>
      <c r="BA57" s="382" t="n"/>
      <c r="BB57" s="382" t="n"/>
      <c r="BC57" s="382" t="n"/>
      <c r="BD57" s="382" t="n"/>
      <c r="BE57" s="382" t="n"/>
      <c r="BF57" s="382" t="n"/>
      <c r="BG57" s="382" t="n"/>
      <c r="BH57" s="382" t="n"/>
      <c r="BI57" s="382" t="n"/>
      <c r="BJ57" s="382" t="n"/>
      <c r="BK57" s="382" t="n"/>
      <c r="BL57" s="382" t="n"/>
      <c r="BM57" s="382" t="n"/>
      <c r="BN57" s="382" t="n"/>
      <c r="BO57" s="382" t="n"/>
      <c r="BP57" s="382" t="n"/>
      <c r="BQ57" s="382" t="n"/>
      <c r="BR57" s="382" t="n"/>
      <c r="BS57" s="382" t="n"/>
      <c r="BT57" s="382" t="n"/>
      <c r="BU57" s="382" t="n"/>
      <c r="BV57" s="382" t="n"/>
      <c r="BW57" s="382" t="n"/>
      <c r="BX57" s="382" t="n"/>
      <c r="BY57" s="382" t="n"/>
      <c r="BZ57" s="382" t="n"/>
      <c r="CA57" s="382" t="n"/>
      <c r="CB57" s="382" t="n"/>
      <c r="CC57" s="382" t="n"/>
      <c r="CD57" s="382" t="n"/>
      <c r="CE57" s="382" t="n"/>
      <c r="CF57" s="382" t="n"/>
      <c r="CG57" s="382" t="n"/>
      <c r="CH57" s="382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Format="1" customHeight="1" s="380">
      <c r="A1" s="381" t="inlineStr">
        <is>
          <t>Six Peak Capital - Sensitivity Analysis</t>
        </is>
      </c>
      <c r="H1" s="382" t="n"/>
      <c r="I1" s="382" t="n"/>
    </row>
    <row r="2" ht="15" customFormat="1" customHeight="1" s="380">
      <c r="A2" s="382" t="n"/>
      <c r="B2" s="382" t="n"/>
      <c r="C2" s="382" t="n"/>
      <c r="D2" s="382" t="n"/>
      <c r="E2" s="382" t="n"/>
      <c r="F2" s="382" t="n"/>
      <c r="G2" s="382" t="n"/>
      <c r="H2" s="382" t="n"/>
      <c r="I2" s="382" t="n"/>
    </row>
    <row r="3" ht="15" customFormat="1" customHeight="1" s="380">
      <c r="A3" s="383" t="inlineStr">
        <is>
          <t>KEY ASSUMPTIONS (Change Yellow Cells for Analysis)</t>
        </is>
      </c>
      <c r="B3" s="383" t="n"/>
      <c r="C3" s="383" t="n"/>
      <c r="D3" s="383" t="n"/>
      <c r="E3" s="383" t="n"/>
      <c r="F3" s="383" t="n"/>
      <c r="G3" s="383" t="n"/>
      <c r="H3" s="382" t="n"/>
      <c r="I3" s="382" t="n"/>
    </row>
    <row r="4" ht="15" customFormat="1" customHeight="1" s="380">
      <c r="A4" s="402" t="inlineStr">
        <is>
          <t>Assumption</t>
        </is>
      </c>
      <c r="B4" s="402" t="inlineStr">
        <is>
          <t>Base Case</t>
        </is>
      </c>
      <c r="C4" s="402" t="inlineStr">
        <is>
          <t>Scenario</t>
        </is>
      </c>
      <c r="D4" s="402" t="inlineStr">
        <is>
          <t>Low</t>
        </is>
      </c>
      <c r="E4" s="402" t="inlineStr">
        <is>
          <t>High</t>
        </is>
      </c>
      <c r="F4" s="402" t="inlineStr">
        <is>
          <t>Unit</t>
        </is>
      </c>
      <c r="G4" s="402" t="inlineStr">
        <is>
          <t>Notes</t>
        </is>
      </c>
      <c r="H4" s="382" t="n"/>
      <c r="I4" s="382" t="n"/>
    </row>
    <row r="5" ht="15" customFormat="1" customHeight="1" s="380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2" t="n"/>
      <c r="I5" s="382" t="n"/>
    </row>
    <row r="6" ht="15" customFormat="1" customHeight="1" s="380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2" t="n"/>
      <c r="I6" s="382" t="n"/>
    </row>
    <row r="7" ht="15" customFormat="1" customHeight="1" s="380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2" t="n"/>
      <c r="I7" s="382" t="n"/>
    </row>
    <row r="8" ht="15" customFormat="1" customHeight="1" s="380">
      <c r="A8" s="458" t="n"/>
      <c r="B8" s="634" t="n"/>
      <c r="C8" s="635" t="n"/>
      <c r="D8" s="636" t="n"/>
      <c r="E8" s="636" t="n"/>
      <c r="F8" s="458" t="n"/>
      <c r="G8" s="449" t="n"/>
      <c r="H8" s="382" t="n"/>
      <c r="I8" s="382" t="n"/>
    </row>
    <row r="9" ht="15" customFormat="1" customHeight="1" s="380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2" t="n"/>
      <c r="I9" s="382" t="n"/>
    </row>
    <row r="10" ht="15" customFormat="1" customHeight="1" s="380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2" t="n"/>
      <c r="I10" s="382" t="n"/>
    </row>
    <row r="11" ht="15" customFormat="1" customHeight="1" s="380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2" t="n"/>
      <c r="I11" s="382" t="n"/>
    </row>
    <row r="12" ht="15" customFormat="1" customHeight="1" s="380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2" t="n"/>
      <c r="I12" s="382" t="n"/>
    </row>
    <row r="13" ht="15" customFormat="1" customHeight="1" s="380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2" t="n"/>
      <c r="I13" s="382" t="n"/>
    </row>
    <row r="14" ht="15" customFormat="1" customHeight="1" s="380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2" t="n"/>
      <c r="I14" s="382" t="n"/>
    </row>
    <row r="15" ht="15" customFormat="1" customHeight="1" s="380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2" t="n"/>
      <c r="I15" s="382" t="n"/>
    </row>
    <row r="16" ht="15" customFormat="1" customHeight="1" s="380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2" t="n"/>
      <c r="I16" s="382" t="n"/>
    </row>
    <row r="17" ht="15" customFormat="1" customHeight="1" s="380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2" t="n"/>
      <c r="I17" s="382" t="n"/>
    </row>
    <row r="18" ht="15" customFormat="1" customHeight="1" s="380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2" t="n"/>
      <c r="I18" s="382" t="n"/>
    </row>
    <row r="19" ht="15" customFormat="1" customHeight="1" s="380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2" t="n"/>
      <c r="I19" s="382" t="n"/>
    </row>
    <row r="20" ht="15" customFormat="1" customHeight="1" s="380">
      <c r="A20" s="382" t="n"/>
      <c r="B20" s="382" t="n"/>
      <c r="C20" s="382" t="n"/>
      <c r="D20" s="382" t="n"/>
      <c r="E20" s="382" t="n"/>
      <c r="F20" s="382" t="n"/>
      <c r="G20" s="382" t="n"/>
      <c r="H20" s="382" t="n"/>
      <c r="I20" s="382" t="n"/>
    </row>
    <row r="21" ht="15" customFormat="1" customHeight="1" s="380">
      <c r="A21" s="382" t="n"/>
      <c r="B21" s="382" t="n"/>
      <c r="C21" s="382" t="n"/>
      <c r="D21" s="382" t="n"/>
      <c r="E21" s="382" t="n"/>
      <c r="F21" s="382" t="n"/>
      <c r="G21" s="382" t="n"/>
      <c r="H21" s="382" t="n"/>
      <c r="I21" s="382" t="n"/>
    </row>
    <row r="22" ht="15" customFormat="1" customHeight="1" s="380">
      <c r="A22" s="383" t="inlineStr">
        <is>
          <t>PROJECT TOGGLE (Change to Yes/No on Projects Tab)</t>
        </is>
      </c>
      <c r="B22" s="383" t="n"/>
      <c r="C22" s="383" t="n"/>
      <c r="D22" s="383" t="n"/>
      <c r="E22" s="383" t="n"/>
      <c r="F22" s="383" t="n"/>
      <c r="G22" s="383" t="n"/>
      <c r="H22" s="382" t="n"/>
      <c r="I22" s="382" t="n"/>
    </row>
    <row r="23" ht="15" customFormat="1" customHeight="1" s="380">
      <c r="A23" s="402" t="inlineStr">
        <is>
          <t>Project</t>
        </is>
      </c>
      <c r="B23" s="402" t="inlineStr">
        <is>
          <t>Active</t>
        </is>
      </c>
      <c r="C23" s="402" t="inlineStr">
        <is>
          <t>GMP</t>
        </is>
      </c>
      <c r="D23" s="402" t="inlineStr">
        <is>
          <t>Type</t>
        </is>
      </c>
      <c r="E23" s="402" t="inlineStr">
        <is>
          <t>Duration</t>
        </is>
      </c>
      <c r="F23" s="402" t="inlineStr">
        <is>
          <t>Steyn</t>
        </is>
      </c>
      <c r="G23" s="402" t="inlineStr">
        <is>
          <t>LIHTC</t>
        </is>
      </c>
      <c r="H23" s="382" t="n"/>
      <c r="I23" s="382" t="n"/>
    </row>
    <row r="24" ht="15" customFormat="1" customHeight="1" s="380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2" t="n"/>
      <c r="I24" s="382" t="n"/>
    </row>
    <row r="25" ht="15" customFormat="1" customHeight="1" s="380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2" t="n"/>
      <c r="I25" s="382" t="n"/>
    </row>
    <row r="26" ht="15" customFormat="1" customHeight="1" s="380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2" t="n"/>
      <c r="I26" s="382" t="n"/>
    </row>
    <row r="27" ht="15" customFormat="1" customHeight="1" s="380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2" t="n"/>
      <c r="I27" s="382" t="n"/>
    </row>
    <row r="28" ht="15" customFormat="1" customHeight="1" s="380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2" t="n"/>
      <c r="I28" s="382" t="n"/>
    </row>
    <row r="29" ht="15" customFormat="1" customHeight="1" s="380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2" t="n"/>
      <c r="I29" s="382" t="n"/>
    </row>
    <row r="30" ht="15" customFormat="1" customHeight="1" s="380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2" t="n"/>
      <c r="I30" s="382" t="n"/>
    </row>
    <row r="31" ht="15" customFormat="1" customHeight="1" s="380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2" t="n"/>
      <c r="I31" s="382" t="n"/>
    </row>
    <row r="32" ht="15" customFormat="1" customHeight="1" s="380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2" t="n"/>
      <c r="I32" s="382" t="n"/>
    </row>
    <row r="33" ht="15" customFormat="1" customHeight="1" s="380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2" t="n"/>
      <c r="I33" s="382" t="n"/>
    </row>
    <row r="34" ht="15" customFormat="1" customHeight="1" s="380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2" t="n"/>
      <c r="I34" s="382" t="n"/>
    </row>
    <row r="35" ht="15" customFormat="1" customHeight="1" s="380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2" t="n"/>
      <c r="I35" s="382" t="n"/>
    </row>
    <row r="36" ht="15" customFormat="1" customHeight="1" s="380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2" t="n"/>
      <c r="I36" s="382" t="n"/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</row>
    <row r="38" ht="15" customFormat="1" customHeight="1" s="380">
      <c r="A38" s="382" t="n"/>
      <c r="B38" s="382" t="n"/>
      <c r="C38" s="382" t="n"/>
      <c r="D38" s="382" t="n"/>
      <c r="E38" s="382" t="n"/>
      <c r="F38" s="382" t="n"/>
      <c r="G38" s="382" t="n"/>
      <c r="H38" s="382" t="n"/>
      <c r="I38" s="382" t="n"/>
    </row>
    <row r="39" ht="15" customFormat="1" customHeight="1" s="380">
      <c r="A39" s="383" t="inlineStr">
        <is>
          <t>ANNUAL RESULTS (Live from Model)</t>
        </is>
      </c>
      <c r="B39" s="383" t="n"/>
      <c r="C39" s="383" t="n"/>
      <c r="D39" s="383" t="n"/>
      <c r="E39" s="383" t="n"/>
      <c r="F39" s="383" t="n"/>
      <c r="G39" s="383" t="n"/>
      <c r="H39" s="383" t="n"/>
      <c r="I39" s="383" t="n"/>
    </row>
    <row r="40" ht="15" customFormat="1" customHeight="1" s="380">
      <c r="A40" s="402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Format="1" customHeight="1" s="380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Format="1" customHeight="1" s="380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Format="1" customHeight="1" s="380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Format="1" customHeight="1" s="380">
      <c r="A44" s="382" t="n"/>
      <c r="B44" s="382" t="n"/>
      <c r="C44" s="382" t="n"/>
      <c r="D44" s="382" t="n"/>
      <c r="E44" s="382" t="n"/>
      <c r="F44" s="382" t="n"/>
      <c r="G44" s="382" t="n"/>
      <c r="H44" s="382" t="n"/>
      <c r="I44" s="382" t="n"/>
    </row>
    <row r="45" ht="15" customFormat="1" customHeight="1" s="380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Format="1" customHeight="1" s="380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</row>
    <row r="48" ht="15" customFormat="1" customHeight="1" s="380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Format="1" customHeight="1" s="380">
      <c r="A49" s="382" t="n"/>
      <c r="B49" s="382" t="n"/>
      <c r="C49" s="382" t="n"/>
      <c r="D49" s="382" t="n"/>
      <c r="E49" s="382" t="n"/>
      <c r="F49" s="382" t="n"/>
      <c r="G49" s="382" t="n"/>
      <c r="H49" s="382" t="n"/>
      <c r="I49" s="382" t="n"/>
    </row>
    <row r="50" ht="15" customFormat="1" customHeight="1" s="380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Format="1" customHeight="1" s="380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Format="1" customHeight="1" s="380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Format="1" customHeight="1" s="380">
      <c r="A53" s="382" t="n"/>
      <c r="B53" s="382" t="n"/>
      <c r="C53" s="382" t="n"/>
      <c r="D53" s="382" t="n"/>
      <c r="E53" s="382" t="n"/>
      <c r="F53" s="382" t="n"/>
      <c r="G53" s="382" t="n"/>
      <c r="H53" s="382" t="n"/>
      <c r="I53" s="382" t="n"/>
    </row>
    <row r="54" ht="15" customFormat="1" customHeight="1" s="380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Format="1" customHeight="1" s="380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Format="1" customHeight="1" s="380">
      <c r="A56" s="382" t="n"/>
      <c r="B56" s="382" t="n"/>
      <c r="C56" s="382" t="n"/>
      <c r="D56" s="382" t="n"/>
      <c r="E56" s="382" t="n"/>
      <c r="F56" s="382" t="n"/>
      <c r="G56" s="382" t="n"/>
      <c r="H56" s="382" t="n"/>
      <c r="I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</row>
    <row r="58" ht="15" customFormat="1" customHeight="1" s="380">
      <c r="A58" s="383" t="inlineStr">
        <is>
          <t>GC REVENUE SENSITIVITY — Total Fee Revenue by Rate Combination</t>
        </is>
      </c>
      <c r="B58" s="383" t="n"/>
      <c r="C58" s="383" t="n"/>
      <c r="D58" s="383" t="n"/>
      <c r="E58" s="383" t="n"/>
      <c r="F58" s="383" t="n"/>
      <c r="G58" s="383" t="n"/>
      <c r="H58" s="382" t="n"/>
      <c r="I58" s="382" t="n"/>
    </row>
    <row r="59" ht="15" customFormat="1" customHeight="1" s="380">
      <c r="A59" s="449" t="inlineStr">
        <is>
          <t>Combined GMP: $251,968,791  |  Shows total fee revenue (Sup+GC+Admin) at different rate/overhead combos</t>
        </is>
      </c>
      <c r="B59" s="382" t="n"/>
      <c r="C59" s="382" t="n"/>
      <c r="D59" s="382" t="n"/>
      <c r="E59" s="382" t="n"/>
      <c r="F59" s="382" t="n"/>
      <c r="G59" s="382" t="n"/>
      <c r="H59" s="382" t="n"/>
      <c r="I59" s="382" t="n"/>
    </row>
    <row r="60" ht="15" customFormat="1" customHeight="1" s="380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2" t="n"/>
      <c r="H60" s="382" t="n"/>
      <c r="I60" s="382" t="n"/>
    </row>
    <row r="61" ht="15" customFormat="1" customHeight="1" s="380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2" t="n"/>
      <c r="H61" s="382" t="n"/>
      <c r="I61" s="382" t="n"/>
    </row>
    <row r="62" ht="15" customFormat="1" customHeight="1" s="380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2" t="n"/>
      <c r="H62" s="382" t="n"/>
      <c r="I62" s="382" t="n"/>
    </row>
    <row r="63" ht="15" customFormat="1" customHeight="1" s="380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2" t="n"/>
      <c r="H63" s="382" t="n"/>
      <c r="I63" s="382" t="n"/>
    </row>
    <row r="64" ht="15" customFormat="1" customHeight="1" s="380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2" t="n"/>
      <c r="H64" s="382" t="n"/>
      <c r="I64" s="382" t="n"/>
    </row>
    <row r="65" ht="15" customFormat="1" customHeight="1" s="380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2" t="n"/>
      <c r="H65" s="382" t="n"/>
      <c r="I65" s="382" t="n"/>
    </row>
    <row r="66" ht="15" customFormat="1" customHeight="1" s="380">
      <c r="A66" s="382" t="n"/>
      <c r="B66" s="382" t="n"/>
      <c r="C66" s="382" t="n"/>
      <c r="D66" s="382" t="n"/>
      <c r="E66" s="382" t="n"/>
      <c r="F66" s="382" t="n"/>
      <c r="G66" s="382" t="n"/>
      <c r="H66" s="382" t="n"/>
      <c r="I66" s="382" t="n"/>
    </row>
    <row r="67" ht="15" customFormat="1" customHeight="1" s="380">
      <c r="A67" s="382" t="n"/>
      <c r="B67" s="382" t="n"/>
      <c r="C67" s="382" t="n"/>
      <c r="D67" s="382" t="n"/>
      <c r="E67" s="382" t="n"/>
      <c r="F67" s="382" t="n"/>
      <c r="G67" s="382" t="n"/>
      <c r="H67" s="382" t="n"/>
      <c r="I67" s="382" t="n"/>
    </row>
    <row r="68" ht="15" customFormat="1" customHeight="1" s="380">
      <c r="A68" s="383" t="inlineStr">
        <is>
          <t>CASH POSITION ANALYSIS</t>
        </is>
      </c>
      <c r="B68" s="383" t="n"/>
      <c r="C68" s="383" t="n"/>
      <c r="D68" s="383" t="n"/>
      <c r="E68" s="383" t="n"/>
      <c r="F68" s="383" t="n"/>
      <c r="G68" s="382" t="n"/>
      <c r="H68" s="382" t="n"/>
      <c r="I68" s="382" t="n"/>
    </row>
    <row r="69" ht="15" customFormat="1" customHeight="1" s="380">
      <c r="A69" s="402" t="inlineStr">
        <is>
          <t>Entity</t>
        </is>
      </c>
      <c r="B69" s="402" t="inlineStr">
        <is>
          <t>Starting Cash</t>
        </is>
      </c>
      <c r="C69" s="402" t="inlineStr">
        <is>
          <t>FY 2027 Cash</t>
        </is>
      </c>
      <c r="D69" s="402" t="inlineStr">
        <is>
          <t>FY 2029 Cash</t>
        </is>
      </c>
      <c r="E69" s="402" t="inlineStr">
        <is>
          <t>FY 2031 Cash</t>
        </is>
      </c>
      <c r="F69" s="402" t="inlineStr">
        <is>
          <t>FY 2033 Cash</t>
        </is>
      </c>
      <c r="G69" s="382" t="n"/>
      <c r="H69" s="382" t="n"/>
      <c r="I69" s="382" t="n"/>
    </row>
    <row r="70" ht="15" customFormat="1" customHeight="1" s="380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2" t="n"/>
      <c r="H70" s="382" t="n"/>
      <c r="I70" s="382" t="n"/>
    </row>
    <row r="71" ht="15" customFormat="1" customHeight="1" s="380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2" t="n"/>
      <c r="H71" s="382" t="n"/>
      <c r="I71" s="382" t="n"/>
    </row>
    <row r="72" ht="15" customFormat="1" customHeight="1" s="380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2" t="n"/>
      <c r="H72" s="382" t="n"/>
      <c r="I72" s="382" t="n"/>
    </row>
    <row r="73" ht="15" customFormat="1" customHeight="1" s="380">
      <c r="A73" s="382" t="n"/>
      <c r="B73" s="382" t="n"/>
      <c r="C73" s="382" t="n"/>
      <c r="D73" s="382" t="n"/>
      <c r="E73" s="382" t="n"/>
      <c r="F73" s="382" t="n"/>
      <c r="G73" s="382" t="n"/>
      <c r="H73" s="382" t="n"/>
      <c r="I73" s="382" t="n"/>
    </row>
    <row r="74" ht="15" customFormat="1" customHeight="1" s="380">
      <c r="A74" s="382" t="n"/>
      <c r="B74" s="382" t="n"/>
      <c r="C74" s="382" t="n"/>
      <c r="D74" s="382" t="n"/>
      <c r="E74" s="382" t="n"/>
      <c r="F74" s="382" t="n"/>
      <c r="G74" s="382" t="n"/>
      <c r="H74" s="382" t="n"/>
      <c r="I74" s="382" t="n"/>
    </row>
    <row r="75" ht="15" customFormat="1" customHeight="1" s="380">
      <c r="A75" s="383" t="inlineStr">
        <is>
          <t>STEYN GROUP — INVESTMENT &amp; FEE SUMMARY</t>
        </is>
      </c>
      <c r="B75" s="383" t="n"/>
      <c r="C75" s="383" t="n"/>
      <c r="D75" s="383" t="n"/>
      <c r="E75" s="383" t="n"/>
      <c r="F75" s="383" t="n"/>
      <c r="G75" s="382" t="n"/>
      <c r="H75" s="382" t="n"/>
      <c r="I75" s="382" t="n"/>
    </row>
    <row r="76" ht="15" customFormat="1" customHeight="1" s="380">
      <c r="A76" s="402" t="inlineStr">
        <is>
          <t>Project</t>
        </is>
      </c>
      <c r="B76" s="402" t="inlineStr">
        <is>
          <t>Completion Guaranty</t>
        </is>
      </c>
      <c r="C76" s="402" t="inlineStr">
        <is>
          <t>Liquidity Fee</t>
        </is>
      </c>
      <c r="D76" s="402" t="inlineStr">
        <is>
          <t>PIK Invested</t>
        </is>
      </c>
      <c r="E76" s="402" t="inlineStr">
        <is>
          <t>Total Steyn Fees</t>
        </is>
      </c>
      <c r="F76" s="402" t="inlineStr">
        <is>
          <t>LIHTC Payback</t>
        </is>
      </c>
      <c r="G76" s="382" t="n"/>
      <c r="H76" s="382" t="n"/>
      <c r="I76" s="382" t="n"/>
    </row>
    <row r="77" ht="15" customFormat="1" customHeight="1" s="380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2" t="n"/>
      <c r="H77" s="382" t="n"/>
      <c r="I77" s="382" t="n"/>
    </row>
    <row r="78" ht="15" customFormat="1" customHeight="1" s="380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2" t="n"/>
      <c r="H78" s="382" t="n"/>
      <c r="I78" s="382" t="n"/>
    </row>
    <row r="79" ht="15" customFormat="1" customHeight="1" s="380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2" t="n"/>
      <c r="H79" s="382" t="n"/>
      <c r="I79" s="382" t="n"/>
    </row>
    <row r="80" ht="15" customFormat="1" customHeight="1" s="380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2" t="n"/>
      <c r="H80" s="382" t="n"/>
      <c r="I80" s="382" t="n"/>
    </row>
    <row r="81" ht="15" customFormat="1" customHeight="1" s="380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2" t="n"/>
      <c r="H81" s="382" t="n"/>
      <c r="I81" s="382" t="n"/>
    </row>
    <row r="82" ht="15" customFormat="1" customHeight="1" s="380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2" t="n"/>
      <c r="H82" s="382" t="n"/>
      <c r="I82" s="382" t="n"/>
    </row>
    <row r="83" ht="15" customFormat="1" customHeight="1" s="380">
      <c r="A83" s="382" t="n"/>
      <c r="B83" s="382" t="n"/>
      <c r="C83" s="382" t="n"/>
      <c r="D83" s="382" t="n"/>
      <c r="E83" s="382" t="n"/>
      <c r="F83" s="382" t="n"/>
      <c r="G83" s="382" t="n"/>
      <c r="H83" s="382" t="n"/>
      <c r="I83" s="382" t="n"/>
    </row>
    <row r="84" ht="15" customFormat="1" customHeight="1" s="380">
      <c r="A84" s="382" t="n"/>
      <c r="B84" s="382" t="n"/>
      <c r="C84" s="382" t="n"/>
      <c r="D84" s="382" t="n"/>
      <c r="E84" s="382" t="n"/>
      <c r="F84" s="382" t="n"/>
      <c r="G84" s="382" t="n"/>
      <c r="H84" s="382" t="n"/>
      <c r="I84" s="382" t="n"/>
    </row>
    <row r="85" ht="15" customFormat="1" customHeight="1" s="380">
      <c r="A85" s="383" t="inlineStr">
        <is>
          <t>TIER 2 BONDING SENSITIVITY — Reseda &amp; 3rd St</t>
        </is>
      </c>
      <c r="B85" s="383" t="n"/>
      <c r="C85" s="383" t="n"/>
      <c r="D85" s="383" t="n"/>
      <c r="E85" s="383" t="n"/>
      <c r="F85" s="383" t="n"/>
      <c r="G85" s="383" t="n"/>
      <c r="H85" s="382" t="n"/>
      <c r="I85" s="382" t="n"/>
    </row>
    <row r="86" ht="15" customFormat="1" customHeight="1" s="380">
      <c r="A86" s="458" t="inlineStr">
        <is>
          <t>Tier 2 Bonded GMP (Reseda + 3rd St)</t>
        </is>
      </c>
      <c r="B86" s="642" t="n">
        <v>86621402</v>
      </c>
      <c r="C86" s="382" t="n"/>
      <c r="D86" s="382" t="n"/>
      <c r="E86" s="382" t="n"/>
      <c r="F86" s="382" t="n"/>
      <c r="G86" s="382" t="n"/>
      <c r="H86" s="382" t="n"/>
      <c r="I86" s="382" t="n"/>
    </row>
    <row r="87" ht="15" customFormat="1" customHeight="1" s="380">
      <c r="A87" s="458" t="inlineStr">
        <is>
          <t>Current Tier 2 Rate</t>
        </is>
      </c>
      <c r="B87" s="654" t="n">
        <v>0.0325</v>
      </c>
      <c r="C87" s="382" t="n"/>
      <c r="D87" s="382" t="n"/>
      <c r="E87" s="382" t="n"/>
      <c r="F87" s="382" t="n"/>
      <c r="G87" s="382" t="n"/>
      <c r="H87" s="382" t="n"/>
      <c r="I87" s="382" t="n"/>
    </row>
    <row r="88" ht="15" customFormat="1" customHeight="1" s="380">
      <c r="A88" s="458" t="inlineStr">
        <is>
          <t>Proposed Tier 2 Rate</t>
        </is>
      </c>
      <c r="B88" s="635" t="n">
        <v>0.015</v>
      </c>
      <c r="C88" s="382" t="n"/>
      <c r="D88" s="382" t="n"/>
      <c r="E88" s="382" t="n"/>
      <c r="F88" s="382" t="n"/>
      <c r="G88" s="382" t="n"/>
      <c r="H88" s="382" t="n"/>
      <c r="I88" s="382" t="n"/>
    </row>
    <row r="89" ht="15" customFormat="1" customHeight="1" s="380">
      <c r="A89" s="402" t="n"/>
      <c r="B89" s="402" t="inlineStr">
        <is>
          <t>FY 2026</t>
        </is>
      </c>
      <c r="C89" s="402" t="inlineStr">
        <is>
          <t>FY 2027</t>
        </is>
      </c>
      <c r="D89" s="402" t="inlineStr">
        <is>
          <t>FY 2028</t>
        </is>
      </c>
      <c r="E89" s="402" t="inlineStr">
        <is>
          <t>FY 2029</t>
        </is>
      </c>
      <c r="F89" s="402" t="inlineStr">
        <is>
          <t>Total</t>
        </is>
      </c>
      <c r="G89" s="382" t="n"/>
      <c r="H89" s="382" t="n"/>
      <c r="I89" s="382" t="n"/>
    </row>
    <row r="90" ht="15" customFormat="1" customHeight="1" s="380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2" t="n"/>
      <c r="H90" s="382" t="n"/>
      <c r="I90" s="382" t="n"/>
    </row>
    <row r="91" ht="15" customFormat="1" customHeight="1" s="380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2" t="n"/>
      <c r="H91" s="382" t="n"/>
      <c r="I91" s="382" t="n"/>
    </row>
    <row r="92" ht="15" customFormat="1" customHeight="1" s="380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2" t="n"/>
      <c r="H92" s="382" t="n"/>
      <c r="I92" s="382" t="n"/>
    </row>
    <row r="93" ht="15" customFormat="1" customHeight="1" s="380">
      <c r="A93" s="382" t="n"/>
      <c r="B93" s="382" t="n"/>
      <c r="C93" s="382" t="n"/>
      <c r="D93" s="382" t="n"/>
      <c r="E93" s="382" t="n"/>
      <c r="F93" s="382" t="n"/>
      <c r="G93" s="382" t="n"/>
      <c r="H93" s="382" t="n"/>
      <c r="I93" s="382" t="n"/>
    </row>
    <row r="94" ht="15" customFormat="1" customHeight="1" s="380">
      <c r="A94" s="382" t="n"/>
      <c r="B94" s="382" t="n"/>
      <c r="C94" s="382" t="n"/>
      <c r="D94" s="382" t="n"/>
      <c r="E94" s="382" t="n"/>
      <c r="F94" s="382" t="n"/>
      <c r="G94" s="382" t="n"/>
      <c r="H94" s="382" t="n"/>
      <c r="I94" s="382" t="n"/>
    </row>
    <row r="95" ht="15" customFormat="1" customHeight="1" s="380">
      <c r="A95" s="383" t="inlineStr">
        <is>
          <t>BONDING LIQUIDITY — 2.5% of Outstanding</t>
        </is>
      </c>
      <c r="B95" s="383" t="n"/>
      <c r="C95" s="383" t="n"/>
      <c r="D95" s="383" t="n"/>
      <c r="E95" s="383" t="n"/>
      <c r="F95" s="383" t="n"/>
      <c r="G95" s="383" t="n"/>
      <c r="H95" s="382" t="n"/>
      <c r="I95" s="382" t="n"/>
    </row>
    <row r="96" ht="15" customFormat="1" customHeight="1" s="380">
      <c r="A96" s="449" t="inlineStr">
        <is>
          <t>Assumes 2.5% liquidity required on total bonding outstanding. Tax distributions estimated at ~5% of GC NI.</t>
        </is>
      </c>
      <c r="B96" s="382" t="n"/>
      <c r="C96" s="382" t="n"/>
      <c r="D96" s="382" t="n"/>
      <c r="E96" s="382" t="n"/>
      <c r="F96" s="382" t="n"/>
      <c r="G96" s="382" t="n"/>
      <c r="H96" s="382" t="n"/>
      <c r="I96" s="382" t="n"/>
    </row>
    <row r="97" ht="15" customFormat="1" customHeight="1" s="380">
      <c r="A97" s="402" t="n"/>
      <c r="B97" s="402" t="inlineStr">
        <is>
          <t>FY 2026</t>
        </is>
      </c>
      <c r="C97" s="402" t="inlineStr">
        <is>
          <t>FY 2027</t>
        </is>
      </c>
      <c r="D97" s="402" t="inlineStr">
        <is>
          <t>FY 2028</t>
        </is>
      </c>
      <c r="E97" s="402" t="inlineStr">
        <is>
          <t>FY 2029</t>
        </is>
      </c>
      <c r="F97" s="382" t="n"/>
      <c r="G97" s="382" t="n"/>
      <c r="H97" s="382" t="n"/>
      <c r="I97" s="382" t="n"/>
    </row>
    <row r="98" ht="15" customFormat="1" customHeight="1" s="380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2" t="n"/>
      <c r="G98" s="382" t="n"/>
      <c r="H98" s="382" t="n"/>
      <c r="I98" s="382" t="n"/>
    </row>
    <row r="99" ht="15" customFormat="1" customHeight="1" s="380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2" t="n"/>
      <c r="G99" s="382" t="n"/>
      <c r="H99" s="382" t="n"/>
      <c r="I99" s="382" t="n"/>
    </row>
    <row r="100" ht="15" customFormat="1" customHeight="1" s="380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2" t="n"/>
      <c r="G100" s="382" t="n"/>
      <c r="H100" s="382" t="n"/>
      <c r="I100" s="382" t="n"/>
    </row>
    <row r="101" ht="15" customFormat="1" customHeight="1" s="380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2" t="n"/>
      <c r="G101" s="382" t="n"/>
      <c r="H101" s="382" t="n"/>
      <c r="I101" s="382" t="n"/>
    </row>
    <row r="102" ht="15" customFormat="1" customHeight="1" s="380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2" t="n"/>
      <c r="G102" s="382" t="n"/>
      <c r="H102" s="382" t="n"/>
      <c r="I102" s="382" t="n"/>
    </row>
    <row r="103" ht="15" customFormat="1" customHeight="1" s="380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2" t="n"/>
      <c r="G103" s="382" t="n"/>
      <c r="H103" s="382" t="n"/>
      <c r="I103" s="382" t="n"/>
    </row>
    <row r="104" ht="15" customFormat="1" customHeight="1" s="380">
      <c r="A104" s="382" t="n"/>
      <c r="B104" s="382" t="n"/>
      <c r="C104" s="382" t="n"/>
      <c r="D104" s="382" t="n"/>
      <c r="E104" s="382" t="n"/>
      <c r="F104" s="382" t="n"/>
      <c r="G104" s="382" t="n"/>
      <c r="H104" s="382" t="n"/>
      <c r="I104" s="382" t="n"/>
    </row>
    <row r="105" ht="15" customFormat="1" customHeight="1" s="380">
      <c r="A105" s="382" t="n"/>
      <c r="B105" s="382" t="n"/>
      <c r="C105" s="382" t="n"/>
      <c r="D105" s="382" t="n"/>
      <c r="E105" s="382" t="n"/>
      <c r="F105" s="382" t="n"/>
      <c r="G105" s="382" t="n"/>
      <c r="H105" s="382" t="n"/>
      <c r="I105" s="382" t="n"/>
    </row>
    <row r="106" ht="15" customFormat="1" customHeight="1" s="380">
      <c r="A106" s="383" t="inlineStr">
        <is>
          <t>HVN PIPELINE — ESTIMATED GC REVENUE (3 New Deals)</t>
        </is>
      </c>
      <c r="B106" s="383" t="n"/>
      <c r="C106" s="383" t="n"/>
      <c r="D106" s="383" t="n"/>
      <c r="E106" s="383" t="n"/>
      <c r="F106" s="383" t="n"/>
      <c r="G106" s="383" t="n"/>
      <c r="H106" s="382" t="n"/>
      <c r="I106" s="382" t="n"/>
    </row>
    <row r="107" ht="15" customFormat="1" customHeight="1" s="380">
      <c r="A107" s="458" t="inlineStr">
        <is>
          <t>Avg GMP (Califa/Whipple/Denny/Lexington/Acama)</t>
        </is>
      </c>
      <c r="B107" s="642" t="n">
        <v>15179956</v>
      </c>
      <c r="C107" s="382" t="n"/>
      <c r="D107" s="382" t="n"/>
      <c r="E107" s="382" t="n"/>
      <c r="F107" s="382" t="n"/>
      <c r="G107" s="382" t="n"/>
      <c r="H107" s="382" t="n"/>
      <c r="I107" s="382" t="n"/>
    </row>
    <row r="108" ht="15" customFormat="1" customHeight="1" s="380">
      <c r="A108" s="458" t="inlineStr">
        <is>
          <t>Effective GC Revenue Rate on GMP</t>
        </is>
      </c>
      <c r="B108" s="654" t="n">
        <v>0.1136</v>
      </c>
      <c r="C108" s="382" t="n"/>
      <c r="D108" s="382" t="n"/>
      <c r="E108" s="382" t="n"/>
      <c r="F108" s="382" t="n"/>
      <c r="G108" s="382" t="n"/>
      <c r="H108" s="382" t="n"/>
      <c r="I108" s="382" t="n"/>
    </row>
    <row r="109" ht="15" customFormat="1" customHeight="1" s="380">
      <c r="A109" s="458" t="inlineStr">
        <is>
          <t>Revenue Per Deal (over project life)</t>
        </is>
      </c>
      <c r="B109" s="628" t="n">
        <v>1724443</v>
      </c>
      <c r="C109" s="382" t="n"/>
      <c r="D109" s="382" t="n"/>
      <c r="E109" s="382" t="n"/>
      <c r="F109" s="382" t="n"/>
      <c r="G109" s="382" t="n"/>
      <c r="H109" s="382" t="n"/>
      <c r="I109" s="382" t="n"/>
    </row>
    <row r="110" ht="15" customFormat="1" customHeight="1" s="380">
      <c r="A110" s="458" t="inlineStr">
        <is>
          <t>Number of New Deals (2 R2 + 1 R3)</t>
        </is>
      </c>
      <c r="B110" s="655" t="n">
        <v>3</v>
      </c>
      <c r="C110" s="382" t="n"/>
      <c r="D110" s="382" t="n"/>
      <c r="E110" s="382" t="n"/>
      <c r="F110" s="382" t="n"/>
      <c r="G110" s="382" t="n"/>
      <c r="H110" s="382" t="n"/>
      <c r="I110" s="382" t="n"/>
    </row>
    <row r="111" ht="15" customFormat="1" customHeight="1" s="380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2" t="n"/>
      <c r="H111" s="382" t="n"/>
      <c r="I111" s="382" t="n"/>
    </row>
    <row r="112" ht="15" customFormat="1" customHeight="1" s="380">
      <c r="A112" s="382" t="n"/>
      <c r="B112" s="382" t="n"/>
      <c r="C112" s="382" t="n"/>
      <c r="D112" s="382" t="n"/>
      <c r="E112" s="382" t="n"/>
      <c r="F112" s="382" t="n"/>
      <c r="G112" s="382" t="n"/>
      <c r="H112" s="382" t="n"/>
      <c r="I112" s="382" t="n"/>
    </row>
    <row r="113" ht="15" customFormat="1" customHeight="1" s="380">
      <c r="A113" s="381" t="inlineStr">
        <is>
          <t>Estimated Revenue Timeline (3 deals):</t>
        </is>
      </c>
      <c r="B113" s="382" t="n"/>
      <c r="C113" s="382" t="n"/>
      <c r="D113" s="382" t="n"/>
      <c r="E113" s="382" t="n"/>
      <c r="F113" s="382" t="n"/>
      <c r="G113" s="382" t="n"/>
      <c r="H113" s="382" t="n"/>
      <c r="I113" s="382" t="n"/>
    </row>
    <row r="114" ht="15" customFormat="1" customHeight="1" s="380">
      <c r="A114" s="402" t="n"/>
      <c r="B114" s="402" t="inlineStr">
        <is>
          <t>FY 2027</t>
        </is>
      </c>
      <c r="C114" s="402" t="inlineStr">
        <is>
          <t>FY 2028</t>
        </is>
      </c>
      <c r="D114" s="402" t="inlineStr">
        <is>
          <t>FY 2029</t>
        </is>
      </c>
      <c r="E114" s="402" t="inlineStr">
        <is>
          <t>FY 2030</t>
        </is>
      </c>
      <c r="F114" s="402" t="inlineStr">
        <is>
          <t>Total</t>
        </is>
      </c>
      <c r="G114" s="382" t="n"/>
      <c r="H114" s="382" t="n"/>
      <c r="I114" s="382" t="n"/>
    </row>
    <row r="115" ht="15" customFormat="1" customHeight="1" s="380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2" t="n"/>
      <c r="H115" s="382" t="n"/>
      <c r="I115" s="382" t="n"/>
    </row>
    <row r="116" ht="15" customFormat="1" customHeight="1" s="380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2" t="n"/>
      <c r="H116" s="382" t="n"/>
      <c r="I116" s="382" t="n"/>
    </row>
    <row r="117" ht="15" customFormat="1" customHeight="1" s="380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2" t="n"/>
      <c r="H117" s="382" t="n"/>
      <c r="I117" s="382" t="n"/>
    </row>
    <row r="118" ht="15" customFormat="1" customHeight="1" s="380">
      <c r="A118" s="382" t="n"/>
      <c r="B118" s="382" t="n"/>
      <c r="C118" s="382" t="n"/>
      <c r="D118" s="382" t="n"/>
      <c r="E118" s="382" t="n"/>
      <c r="F118" s="382" t="n"/>
      <c r="G118" s="382" t="n"/>
      <c r="H118" s="382" t="n"/>
      <c r="I118" s="382" t="n"/>
    </row>
    <row r="119" ht="15" customFormat="1" customHeight="1" s="380">
      <c r="A119" s="449" t="inlineStr">
        <is>
          <t>FY28 revenue gap to breakeven: 1,225,136 → New pipeline covers 204%</t>
        </is>
      </c>
      <c r="B119" s="382" t="n"/>
      <c r="C119" s="382" t="n"/>
      <c r="D119" s="382" t="n"/>
      <c r="E119" s="382" t="n"/>
      <c r="F119" s="382" t="n"/>
      <c r="G119" s="382" t="n"/>
      <c r="H119" s="382" t="n"/>
      <c r="I119" s="382" t="n"/>
    </row>
    <row r="120" ht="15" customFormat="1" customHeight="1" s="380">
      <c r="A120" s="382" t="n"/>
      <c r="B120" s="382" t="n"/>
      <c r="C120" s="382" t="n"/>
      <c r="D120" s="382" t="n"/>
      <c r="E120" s="382" t="n"/>
      <c r="F120" s="382" t="n"/>
      <c r="G120" s="382" t="n"/>
      <c r="H120" s="382" t="n"/>
      <c r="I120" s="382" t="n"/>
    </row>
    <row r="121" ht="15" customFormat="1" customHeight="1" s="380">
      <c r="A121" s="382" t="n"/>
      <c r="B121" s="382" t="n"/>
      <c r="C121" s="382" t="n"/>
      <c r="D121" s="382" t="n"/>
      <c r="E121" s="382" t="n"/>
      <c r="F121" s="382" t="n"/>
      <c r="G121" s="382" t="n"/>
      <c r="H121" s="382" t="n"/>
      <c r="I121" s="382" t="n"/>
    </row>
    <row r="122" ht="15" customFormat="1" customHeight="1" s="380">
      <c r="A122" s="383" t="inlineStr">
        <is>
          <t>PREFERRED EQUITY (PIK) — PAYOFF &amp; STEYN RETURNS</t>
        </is>
      </c>
      <c r="B122" s="383" t="n"/>
      <c r="C122" s="383" t="n"/>
      <c r="D122" s="383" t="n"/>
      <c r="E122" s="383" t="n"/>
      <c r="F122" s="383" t="n"/>
      <c r="G122" s="383" t="n"/>
      <c r="H122" s="382" t="n"/>
      <c r="I122" s="382" t="n"/>
    </row>
    <row r="123" ht="15" customFormat="1" customHeight="1" s="380">
      <c r="A123" s="449" t="inlineStr">
        <is>
          <t>Reseda is the only active PIK investment. Capital accrues at 15%/yr (3.75% quarterly). Repaid from LIHTC revenue after Steyn fees.</t>
        </is>
      </c>
      <c r="B123" s="382" t="n"/>
      <c r="C123" s="382" t="n"/>
      <c r="D123" s="382" t="n"/>
      <c r="E123" s="382" t="n"/>
      <c r="F123" s="382" t="n"/>
      <c r="G123" s="382" t="n"/>
      <c r="H123" s="382" t="n"/>
      <c r="I123" s="382" t="n"/>
    </row>
    <row r="124" ht="15" customFormat="1" customHeight="1" s="380">
      <c r="A124" s="402" t="n"/>
      <c r="B124" s="402" t="inlineStr">
        <is>
          <t>Amount</t>
        </is>
      </c>
      <c r="C124" s="402" t="inlineStr">
        <is>
          <t>Date / Month</t>
        </is>
      </c>
      <c r="D124" s="402" t="inlineStr">
        <is>
          <t>Notes</t>
        </is>
      </c>
      <c r="E124" s="382" t="n"/>
      <c r="F124" s="382" t="n"/>
      <c r="G124" s="382" t="n"/>
      <c r="H124" s="382" t="n"/>
      <c r="I124" s="382" t="n"/>
    </row>
    <row r="125" ht="15" customFormat="1" customHeight="1" s="380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2" t="n"/>
      <c r="F125" s="382" t="n"/>
      <c r="G125" s="382" t="n"/>
      <c r="H125" s="382" t="n"/>
      <c r="I125" s="382" t="n"/>
    </row>
    <row r="126" ht="15" customFormat="1" customHeight="1" s="380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2" t="n"/>
      <c r="F126" s="382" t="n"/>
      <c r="G126" s="382" t="n"/>
      <c r="H126" s="382" t="n"/>
      <c r="I126" s="382" t="n"/>
    </row>
    <row r="127" ht="15" customFormat="1" customHeight="1" s="380">
      <c r="A127" s="458" t="inlineStr">
        <is>
          <t>Remaining Balance (after dist)</t>
        </is>
      </c>
      <c r="B127" s="382" t="n"/>
      <c r="C127" s="656" t="inlineStr">
        <is>
          <t>Apr 2027</t>
        </is>
      </c>
      <c r="D127" s="449" t="inlineStr">
        <is>
          <t>Reduced balance accrues interest</t>
        </is>
      </c>
      <c r="E127" s="382" t="n"/>
      <c r="F127" s="382" t="n"/>
      <c r="G127" s="382" t="n"/>
      <c r="H127" s="382" t="n"/>
      <c r="I127" s="382" t="n"/>
    </row>
    <row r="128" ht="15" customFormat="1" customHeight="1" s="380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2" t="n"/>
      <c r="F128" s="382" t="n"/>
      <c r="G128" s="382" t="n"/>
      <c r="H128" s="382" t="n"/>
      <c r="I128" s="382" t="n"/>
    </row>
    <row r="129" ht="15" customFormat="1" customHeight="1" s="380">
      <c r="A129" s="382" t="n"/>
      <c r="B129" s="382" t="n"/>
      <c r="C129" s="382" t="n"/>
      <c r="D129" s="382" t="n"/>
      <c r="E129" s="382" t="n"/>
      <c r="F129" s="382" t="n"/>
      <c r="G129" s="382" t="n"/>
      <c r="H129" s="382" t="n"/>
      <c r="I129" s="382" t="n"/>
    </row>
    <row r="130" ht="15" customFormat="1" customHeight="1" s="380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2" t="n"/>
      <c r="F130" s="382" t="n"/>
      <c r="G130" s="382" t="n"/>
      <c r="H130" s="382" t="n"/>
      <c r="I130" s="382" t="n"/>
    </row>
    <row r="131" ht="15" customFormat="1" customHeight="1" s="380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2" t="n"/>
      <c r="F131" s="382" t="n"/>
      <c r="G131" s="382" t="n"/>
      <c r="H131" s="382" t="n"/>
      <c r="I131" s="382" t="n"/>
    </row>
    <row r="132" ht="15" customFormat="1" customHeight="1" s="380">
      <c r="A132" s="382" t="n"/>
      <c r="B132" s="382" t="n"/>
      <c r="C132" s="382" t="n"/>
      <c r="D132" s="382" t="n"/>
      <c r="E132" s="382" t="n"/>
      <c r="F132" s="382" t="n"/>
      <c r="G132" s="382" t="n"/>
      <c r="H132" s="382" t="n"/>
      <c r="I132" s="382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20" customWidth="1" style="380" min="1" max="1"/>
  </cols>
  <sheetData>
    <row r="1" ht="15" customFormat="1" customHeight="1" s="380">
      <c r="A1" s="383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Format="1" customHeight="1" s="380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Format="1" customHeight="1" s="380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Format="1" customHeight="1" s="380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Format="1" customHeight="1" s="380">
      <c r="A5" s="659" t="inlineStr">
        <is>
          <t>Renormalized (In-Place)</t>
        </is>
      </c>
    </row>
    <row r="6" ht="15" customFormat="1" customHeight="1" s="380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Format="1" customHeight="1" s="380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Format="1" customHeight="1" s="380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Format="1" customHeight="1" s="380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149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G29" activeCellId="0" sqref="G29"/>
    </sheetView>
  </sheetViews>
  <sheetFormatPr baseColWidth="8" defaultColWidth="8.71875" defaultRowHeight="1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Format="1" customHeight="1" s="380">
      <c r="A1" s="473" t="inlineStr">
        <is>
          <t>Six Peak Capital - Model Assumptions</t>
        </is>
      </c>
    </row>
    <row r="3" ht="15" customFormat="1" customHeight="1" s="380">
      <c r="A3" s="402" t="inlineStr">
        <is>
          <t>GC Fee Structure</t>
        </is>
      </c>
      <c r="B3" s="402" t="n"/>
      <c r="C3" s="402" t="n"/>
      <c r="D3" s="402" t="n"/>
    </row>
    <row r="4" ht="15" customFormat="1" customHeight="1" s="380">
      <c r="A4" s="550" t="inlineStr">
        <is>
          <t>Field Supervision Rate</t>
        </is>
      </c>
      <c r="B4" s="658" t="n">
        <v>0.06</v>
      </c>
    </row>
    <row r="5" ht="15" customFormat="1" customHeight="1" s="380">
      <c r="A5" s="550" t="inlineStr">
        <is>
          <t>GC-CM Fee Rate</t>
        </is>
      </c>
      <c r="B5" s="658" t="n">
        <v>0.06</v>
      </c>
    </row>
    <row r="6" ht="15" customFormat="1" customHeight="1" s="380">
      <c r="A6" s="550" t="inlineStr">
        <is>
          <t>Project Admin Rate</t>
        </is>
      </c>
      <c r="B6" s="658" t="n">
        <v>0.02</v>
      </c>
    </row>
    <row r="7" ht="15" customFormat="1" customHeight="1" s="380">
      <c r="A7" s="550" t="inlineStr">
        <is>
          <t>Total Fee Rate</t>
        </is>
      </c>
      <c r="B7" s="553">
        <f>B4+B5+B6</f>
        <v/>
      </c>
    </row>
    <row r="8" ht="15" customFormat="1" customHeight="1" s="380">
      <c r="A8" s="550" t="n"/>
      <c r="B8" s="658" t="n"/>
    </row>
    <row r="9" ht="15" customFormat="1" customHeight="1" s="380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Format="1" customHeight="1" s="380">
      <c r="A10" s="550" t="inlineStr">
        <is>
          <t>Supervision Rate on GMP</t>
        </is>
      </c>
      <c r="B10" s="553" t="n">
        <v>0.051596</v>
      </c>
    </row>
    <row r="11" ht="15" customFormat="1" customHeight="1" s="380">
      <c r="A11" s="550" t="inlineStr">
        <is>
          <t>GC-CM Fee Rate on GMP</t>
        </is>
      </c>
      <c r="B11" s="553" t="n">
        <v>0.051596</v>
      </c>
    </row>
    <row r="12" ht="15" customFormat="1" customHeight="1" s="380">
      <c r="A12" s="550" t="inlineStr">
        <is>
          <t>Admin Rate on GMP</t>
        </is>
      </c>
      <c r="B12" s="553" t="n">
        <v>0.017199</v>
      </c>
    </row>
    <row r="14" ht="15" customFormat="1" customHeight="1" s="380">
      <c r="A14" s="402" t="inlineStr">
        <is>
          <t>Bonding</t>
        </is>
      </c>
      <c r="B14" s="402" t="n"/>
      <c r="C14" s="402" t="n"/>
      <c r="D14" s="402" t="n"/>
    </row>
    <row r="15" ht="15" customFormat="1" customHeight="1" s="380">
      <c r="A15" s="550" t="inlineStr">
        <is>
          <t>Bonding Revenue Rate</t>
        </is>
      </c>
      <c r="B15" s="658" t="n">
        <v>0.015</v>
      </c>
    </row>
    <row r="16" ht="15" customFormat="1" customHeight="1" s="380">
      <c r="A16" s="550" t="inlineStr">
        <is>
          <t>Tier 1 Bond Cost Rate</t>
        </is>
      </c>
      <c r="B16" s="658" t="n">
        <v>0.0074</v>
      </c>
    </row>
    <row r="17" ht="15" customFormat="1" customHeight="1" s="380">
      <c r="A17" s="550" t="inlineStr">
        <is>
          <t>Tier 2 Bond Cost Rate</t>
        </is>
      </c>
      <c r="B17" s="658" t="n">
        <v>0.0325</v>
      </c>
    </row>
    <row r="18" ht="15" customFormat="1" customHeight="1" s="380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Format="1" customHeight="1" s="380">
      <c r="A19" s="402" t="inlineStr">
        <is>
          <t>Payroll Burden Rates</t>
        </is>
      </c>
      <c r="B19" s="402" t="n"/>
      <c r="C19" s="402" t="n"/>
      <c r="D19" s="402" t="n"/>
    </row>
    <row r="20" ht="15" customFormat="1" customHeight="1" s="380">
      <c r="A20" s="550" t="inlineStr">
        <is>
          <t>Payroll Tax Rate</t>
        </is>
      </c>
      <c r="B20" s="658" t="n">
        <v>0.07000000000000001</v>
      </c>
    </row>
    <row r="21" ht="15" customFormat="1" customHeight="1" s="380">
      <c r="A21" s="550" t="inlineStr">
        <is>
          <t>Payroll Servicing Rate</t>
        </is>
      </c>
      <c r="B21" s="658" t="n">
        <v>0.005</v>
      </c>
    </row>
    <row r="22" ht="15" customFormat="1" customHeight="1" s="380">
      <c r="A22" s="550" t="inlineStr">
        <is>
          <t>Employee Benefits Rate</t>
        </is>
      </c>
      <c r="B22" s="658" t="n">
        <v>0.05</v>
      </c>
    </row>
    <row r="23" ht="15" customFormat="1" customHeight="1" s="380">
      <c r="A23" s="550" t="inlineStr">
        <is>
          <t>Workers Comp Rate</t>
        </is>
      </c>
      <c r="B23" s="658" t="n">
        <v>0.02</v>
      </c>
    </row>
    <row r="25" ht="15" customFormat="1" customHeight="1" s="380">
      <c r="A25" s="402" t="inlineStr">
        <is>
          <t>Expense Escalation</t>
        </is>
      </c>
      <c r="B25" s="402" t="n"/>
      <c r="C25" s="402" t="n"/>
      <c r="D25" s="402" t="n"/>
    </row>
    <row r="26" ht="15" customFormat="1" customHeight="1" s="380">
      <c r="A26" s="550" t="inlineStr">
        <is>
          <t>Annual Expense Escalation Rate</t>
        </is>
      </c>
      <c r="B26" s="635" t="n">
        <v>0.02</v>
      </c>
    </row>
    <row r="28" ht="15" customFormat="1" customHeight="1" s="380">
      <c r="A28" s="402" t="inlineStr">
        <is>
          <t>Beginning Cash Balances</t>
        </is>
      </c>
      <c r="B28" s="402" t="n"/>
      <c r="C28" s="402" t="n"/>
      <c r="D28" s="402" t="n"/>
    </row>
    <row r="29" ht="15" customFormat="1" customHeight="1" s="380">
      <c r="A29" s="550" t="inlineStr">
        <is>
          <t>LV (GC) Beginning Cash</t>
        </is>
      </c>
      <c r="B29" s="637" t="n">
        <v>283340</v>
      </c>
    </row>
    <row r="30" ht="15" customFormat="1" customHeight="1" s="380">
      <c r="A30" s="550" t="inlineStr">
        <is>
          <t>Six Peak Beginning Cash</t>
        </is>
      </c>
      <c r="B30" s="637" t="n">
        <v>122223</v>
      </c>
    </row>
    <row r="32" ht="15" customFormat="1" customHeight="1" s="380">
      <c r="A32" s="402" t="inlineStr">
        <is>
          <t>Debt Facility</t>
        </is>
      </c>
      <c r="B32" s="402" t="n"/>
      <c r="C32" s="402" t="n"/>
      <c r="D32" s="402" t="n"/>
    </row>
    <row r="33" ht="15" customFormat="1" customHeight="1" s="380">
      <c r="A33" s="550" t="inlineStr">
        <is>
          <t>Debt Starting Balance (Apr 2026)</t>
        </is>
      </c>
      <c r="B33" s="637" t="n">
        <v>1615485</v>
      </c>
    </row>
    <row r="34" ht="15" customFormat="1" customHeight="1" s="380">
      <c r="A34" s="550" t="inlineStr">
        <is>
          <t>Interest Rate (Annual)</t>
        </is>
      </c>
      <c r="B34" s="658" t="n">
        <v>0.15</v>
      </c>
    </row>
    <row r="35" ht="15" customFormat="1" customHeight="1" s="380">
      <c r="A35" s="550" t="inlineStr">
        <is>
          <t>Quarterly Rate</t>
        </is>
      </c>
      <c r="B35" s="553">
        <f>B34/4</f>
        <v/>
      </c>
    </row>
    <row r="36" ht="15" customFormat="1" customHeight="1" s="380">
      <c r="A36" s="550" t="inlineStr">
        <is>
          <t>Monthly Payment Amount</t>
        </is>
      </c>
      <c r="B36" s="637" t="n">
        <v>112000</v>
      </c>
    </row>
    <row r="37" ht="15" customFormat="1" customHeight="1" s="380">
      <c r="A37" s="550" t="inlineStr">
        <is>
          <t>First Payment Month #</t>
        </is>
      </c>
      <c r="B37" s="662" t="n">
        <v>10</v>
      </c>
    </row>
    <row r="38" ht="15" customFormat="1" customHeight="1" s="380">
      <c r="A38" s="663" t="inlineStr">
        <is>
          <t>(Month 7 = Oct 2026, paid off Dec 2027)</t>
        </is>
      </c>
    </row>
    <row r="40" ht="15" customFormat="1" customHeight="1" s="380">
      <c r="A40" s="402" t="inlineStr">
        <is>
          <t>Row Run Capital LLC</t>
        </is>
      </c>
      <c r="B40" s="402" t="n"/>
      <c r="C40" s="402" t="n"/>
      <c r="D40" s="402" t="n"/>
    </row>
    <row r="41" ht="15" customFormat="1" customHeight="1" s="380">
      <c r="A41" s="550" t="inlineStr">
        <is>
          <t>Loan Amount</t>
        </is>
      </c>
      <c r="B41" s="637" t="n">
        <v>1000000</v>
      </c>
    </row>
    <row r="42" ht="15" customFormat="1" customHeight="1" s="380">
      <c r="A42" s="550" t="inlineStr">
        <is>
          <t>Tranche Size (25%)</t>
        </is>
      </c>
      <c r="B42" s="664">
        <f>B41*0.25</f>
        <v/>
      </c>
    </row>
    <row r="43" ht="15" customFormat="1" customHeight="1" s="380">
      <c r="A43" s="550" t="inlineStr">
        <is>
          <t>Net Income Threshold</t>
        </is>
      </c>
      <c r="B43" s="637" t="n">
        <v>1000000</v>
      </c>
    </row>
    <row r="44" ht="15" customFormat="1" customHeight="1" s="380">
      <c r="A44" s="663" t="inlineStr">
        <is>
          <t>(Payable only when annual consolidated NI &gt;= threshold)</t>
        </is>
      </c>
    </row>
    <row r="46" ht="15" customFormat="1" customHeight="1" s="380">
      <c r="A46" s="402" t="inlineStr">
        <is>
          <t>Steyn Group Guaranty</t>
        </is>
      </c>
      <c r="B46" s="402" t="n"/>
      <c r="C46" s="402" t="n"/>
      <c r="D46" s="402" t="n"/>
    </row>
    <row r="47" ht="15" customFormat="1" customHeight="1" s="380">
      <c r="A47" s="550" t="inlineStr">
        <is>
          <t>Completion Guaranty Fee Rate</t>
        </is>
      </c>
      <c r="B47" s="658" t="n">
        <v>0.01</v>
      </c>
    </row>
    <row r="48" ht="15" customFormat="1" customHeight="1" s="380">
      <c r="A48" s="550" t="inlineStr">
        <is>
          <t>Liquidity Guarantee Fee Rate</t>
        </is>
      </c>
      <c r="B48" s="658" t="n">
        <v>0.03</v>
      </c>
    </row>
    <row r="50" ht="15" customFormat="1" customHeight="1" s="380">
      <c r="A50" s="402" t="inlineStr">
        <is>
          <t>Steyn Liquidity Requirements</t>
        </is>
      </c>
      <c r="B50" s="402" t="n"/>
      <c r="C50" s="665" t="n"/>
      <c r="D50" s="402" t="n"/>
    </row>
    <row r="51" ht="15" customFormat="1" customHeight="1" s="380">
      <c r="A51" s="550" t="inlineStr">
        <is>
          <t>Klump</t>
        </is>
      </c>
      <c r="B51" s="637" t="n">
        <v>2000000</v>
      </c>
    </row>
    <row r="52" ht="15" customFormat="1" customHeight="1" s="380">
      <c r="A52" s="550" t="inlineStr">
        <is>
          <t>Scott</t>
        </is>
      </c>
      <c r="B52" s="637" t="n">
        <v>2000000</v>
      </c>
    </row>
    <row r="53" ht="15" customFormat="1" customHeight="1" s="380">
      <c r="A53" s="550" t="inlineStr">
        <is>
          <t>Francis</t>
        </is>
      </c>
      <c r="B53" s="637" t="n">
        <v>5000000</v>
      </c>
      <c r="C53" s="468" t="n"/>
    </row>
    <row r="54" ht="15" customFormat="1" customHeight="1" s="380">
      <c r="A54" s="550" t="inlineStr">
        <is>
          <t>Reseda</t>
        </is>
      </c>
      <c r="B54" s="637" t="n">
        <v>5000000</v>
      </c>
      <c r="C54" s="468" t="n"/>
    </row>
    <row r="55" ht="15" customFormat="1" customHeight="1" s="380">
      <c r="A55" s="550" t="inlineStr">
        <is>
          <t>3rd St</t>
        </is>
      </c>
      <c r="B55" s="637" t="n">
        <v>5000000</v>
      </c>
      <c r="C55" s="468" t="n"/>
    </row>
    <row r="57" ht="15" customFormat="1" customHeight="1" s="380">
      <c r="A57" s="402" t="inlineStr">
        <is>
          <t>Project Investment Capital</t>
        </is>
      </c>
      <c r="B57" s="402" t="n"/>
      <c r="C57" s="402" t="n"/>
      <c r="D57" s="402" t="n"/>
    </row>
    <row r="58" ht="15" customFormat="1" customHeight="1" s="380">
      <c r="A58" s="550" t="inlineStr">
        <is>
          <t>Accrual Rate (Annual)</t>
        </is>
      </c>
      <c r="B58" s="658" t="n">
        <v>0.15</v>
      </c>
    </row>
    <row r="59" ht="15" customFormat="1" customHeight="1" s="380">
      <c r="A59" s="550" t="inlineStr">
        <is>
          <t>Quarterly Accrual Rate</t>
        </is>
      </c>
      <c r="B59" s="553">
        <f>B58/4</f>
        <v/>
      </c>
    </row>
    <row r="60" ht="15" customFormat="1" customHeight="1" s="380">
      <c r="A60" s="550" t="inlineStr">
        <is>
          <t>Klump - Capital Invested</t>
        </is>
      </c>
      <c r="B60" s="637" t="n">
        <v>0</v>
      </c>
    </row>
    <row r="61" ht="15" customFormat="1" customHeight="1" s="380">
      <c r="A61" s="550" t="inlineStr">
        <is>
          <t>Scott - Capital Invested</t>
        </is>
      </c>
      <c r="B61" s="637" t="n">
        <v>0</v>
      </c>
    </row>
    <row r="62" ht="15" customFormat="1" customHeight="1" s="380">
      <c r="A62" s="550" t="inlineStr">
        <is>
          <t>Reseda - Capital Invested</t>
        </is>
      </c>
      <c r="B62" s="637" t="n">
        <v>1784000</v>
      </c>
    </row>
    <row r="63" ht="15" customFormat="1" customHeight="1" s="380">
      <c r="A63" s="550" t="inlineStr">
        <is>
          <t>3rd St - Capital Invested</t>
        </is>
      </c>
      <c r="B63" s="637" t="n">
        <v>1766181</v>
      </c>
    </row>
    <row r="64" ht="15" customFormat="1" customHeight="1" s="380">
      <c r="A64" s="663" t="inlineStr">
        <is>
          <t>(Capital amounts TBD - enter when available)</t>
        </is>
      </c>
    </row>
    <row r="66" ht="15" customFormat="1" customHeight="1" s="380">
      <c r="A66" s="476" t="inlineStr">
        <is>
          <t>Edgemont Management Fee</t>
        </is>
      </c>
    </row>
    <row r="67" ht="15" customFormat="1" customHeight="1" s="380">
      <c r="A67" s="468" t="inlineStr">
        <is>
          <t>Monthly Fee Amount</t>
        </is>
      </c>
      <c r="B67" s="666" t="n">
        <v>833.33</v>
      </c>
    </row>
    <row r="68" ht="15" customFormat="1" customHeight="1" s="380">
      <c r="A68" s="468" t="inlineStr">
        <is>
          <t>Last Active Month #</t>
        </is>
      </c>
      <c r="B68" s="468" t="n">
        <v>5</v>
      </c>
    </row>
    <row r="70" ht="15" customFormat="1" customHeight="1" s="380">
      <c r="A70" s="667" t="inlineStr">
        <is>
          <t>PIK Detail Parameters</t>
        </is>
      </c>
      <c r="B70" s="667" t="n"/>
    </row>
    <row r="71" ht="15" customFormat="1" customHeight="1" s="380">
      <c r="A71" s="668" t="inlineStr">
        <is>
          <t>Reseda - Initial PIK Balance</t>
        </is>
      </c>
      <c r="B71" s="669" t="n">
        <v>1134000</v>
      </c>
    </row>
    <row r="72" ht="15" customFormat="1" customHeight="1" s="380">
      <c r="A72" s="670" t="inlineStr">
        <is>
          <t>Reseda - Monthly PIK Ramp</t>
        </is>
      </c>
      <c r="B72" s="671" t="n">
        <v>50000</v>
      </c>
    </row>
    <row r="73" ht="15" customFormat="1" customHeight="1" s="380">
      <c r="A73" s="668" t="inlineStr">
        <is>
          <t>Reseda - PIK Ramp Until Month</t>
        </is>
      </c>
      <c r="B73" s="672" t="n">
        <v>14</v>
      </c>
    </row>
    <row r="74" ht="15" customFormat="1" customHeight="1" s="380">
      <c r="A74" s="670" t="inlineStr">
        <is>
          <t>Reseda - Deal Distribution</t>
        </is>
      </c>
      <c r="B74" s="671" t="n">
        <v>-1450000</v>
      </c>
    </row>
    <row r="75" ht="15" customFormat="1" customHeight="1" s="380">
      <c r="A75" s="668" t="inlineStr">
        <is>
          <t>3rd St - Initial PIK Balance</t>
        </is>
      </c>
      <c r="B75" s="669" t="n">
        <v>264927.15</v>
      </c>
    </row>
    <row r="76" ht="15" customFormat="1" customHeight="1" s="380">
      <c r="A76" s="670" t="inlineStr">
        <is>
          <t>3rd St - Final Tranche (draw base: 20/20/10/10/10/100%)</t>
        </is>
      </c>
      <c r="B76" s="671" t="n">
        <v>883090.5</v>
      </c>
    </row>
    <row r="77" ht="15" customFormat="1" customHeight="1" s="380">
      <c r="A77" s="668" t="inlineStr">
        <is>
          <t>3rd St - Deal Distribution</t>
        </is>
      </c>
      <c r="B77" s="669" t="n">
        <v>-1800000</v>
      </c>
    </row>
    <row r="79" ht="19.5" customFormat="1" customHeight="1" s="380">
      <c r="A79" s="673" t="inlineStr">
        <is>
          <t>HVN Commission Structure</t>
        </is>
      </c>
    </row>
    <row r="80" ht="15" customFormat="1" customHeight="1" s="380">
      <c r="A80" s="674" t="inlineStr">
        <is>
          <t>Number of HVN deals per year (informational)</t>
        </is>
      </c>
      <c r="B80" s="675" t="n">
        <v>1</v>
      </c>
    </row>
    <row r="82" ht="27.75" customFormat="1" customHeight="1" s="380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Format="1" customHeight="1" s="380">
      <c r="A83" s="676" t="inlineStr">
        <is>
          <t>Tier 0 (base)</t>
        </is>
      </c>
      <c r="B83" s="677" t="n">
        <v>0</v>
      </c>
      <c r="C83" s="678" t="n">
        <v>0.25</v>
      </c>
    </row>
    <row r="84" ht="15" customFormat="1" customHeight="1" s="380">
      <c r="A84" s="676" t="inlineStr">
        <is>
          <t>Tier 1</t>
        </is>
      </c>
      <c r="B84" s="677" t="n">
        <v>20000000</v>
      </c>
      <c r="C84" s="678" t="n">
        <v>0.5</v>
      </c>
    </row>
    <row r="85" ht="15" customFormat="1" customHeight="1" s="380">
      <c r="A85" s="676" t="inlineStr">
        <is>
          <t>Tier 2</t>
        </is>
      </c>
      <c r="B85" s="677" t="n">
        <v>40000000</v>
      </c>
      <c r="C85" s="678" t="n">
        <v>0.75</v>
      </c>
    </row>
    <row r="86" ht="15" customFormat="1" customHeight="1" s="380">
      <c r="A86" s="676" t="inlineStr">
        <is>
          <t>Tier 3</t>
        </is>
      </c>
      <c r="B86" s="677" t="n">
        <v>60000000</v>
      </c>
      <c r="C86" s="678" t="n">
        <v>1</v>
      </c>
    </row>
    <row r="88" ht="15" customFormat="1" customHeight="1" s="380">
      <c r="A88" s="452" t="inlineStr">
        <is>
          <t>(Thresholds measured by non-HVN BD annual billing; rate applied to that year's HVN GP)</t>
        </is>
      </c>
    </row>
    <row r="92" ht="15" customHeight="1" s="410">
      <c r="A92" s="380" t="inlineStr">
        <is>
          <t>ALT-1 SCENARIO NOTES</t>
        </is>
      </c>
    </row>
    <row r="93" ht="15" customHeight="1" s="410">
      <c r="A93" s="380" t="inlineStr">
        <is>
          <t>Built 14 Aug 2026 from 'Base Case (in-place) + HVN 3 (Dickens-Riverton-Moorpark)'.</t>
        </is>
      </c>
    </row>
    <row r="94" ht="15" customHeight="1" s="410">
      <c r="A94" s="380" t="inlineStr">
        <is>
          <t>Month index: month 1 = Apr 2026. Projects!C is that index.</t>
        </is>
      </c>
    </row>
    <row r="95" ht="15" customHeight="1" s="410">
      <c r="A95" s="380" t="inlineStr">
        <is>
          <t>Troost (Projects row 21, former BD-05 slot): GMP $15,189,509 from LV ROM 7/30/26.</t>
        </is>
      </c>
    </row>
    <row r="96" ht="15" customHeight="1" s="410">
      <c r="A96" s="380" t="inlineStr">
        <is>
          <t xml:space="preserve">   Nov 2026 start treated as unbilled mobilisation; Projects!C=9 so first billing is Dec 2026.</t>
        </is>
      </c>
    </row>
    <row r="97" ht="15" customHeight="1" s="410">
      <c r="A97" s="380" t="inlineStr">
        <is>
          <t xml:space="preserve">   Flagged HVN=Yes, so Tom earns the tiered HVN commission rate.</t>
        </is>
      </c>
    </row>
    <row r="98" ht="15" customHeight="1" s="410">
      <c r="A98" s="380" t="inlineStr">
        <is>
          <t xml:space="preserve">   ROM total carries $223,464 of bonding inside it; Bonded set to No, bonding not modelled separately.</t>
        </is>
      </c>
    </row>
    <row r="99" ht="15" customHeight="1" s="410">
      <c r="A99" s="380" t="inlineStr">
        <is>
          <t>Beverly (Projects row 20, BD-04 slot): GMP $25,026,331 from LV ROM 7/22/26.</t>
        </is>
      </c>
    </row>
    <row r="100" ht="15" customHeight="1" s="410">
      <c r="A100" s="380" t="inlineStr">
        <is>
          <t xml:space="preserve">   Oct 2027 start treated as unbilled mobilisation; Projects!C=20 so first billing is Nov 2027.</t>
        </is>
      </c>
    </row>
    <row r="101" ht="15" customHeight="1" s="410">
      <c r="A101" s="380" t="inlineStr">
        <is>
          <t xml:space="preserve">   Flagged HVN=No per direction, so Tom earns the standard 10% non-HVN commission.</t>
        </is>
      </c>
    </row>
    <row r="102" ht="15" customHeight="1" s="410">
      <c r="A102" s="380" t="inlineStr">
        <is>
          <t>Klump and Scott switched Active=Yes, both moved to Projects!C=10 (Jan 2027).</t>
        </is>
      </c>
    </row>
    <row r="103" ht="15" customHeight="1" s="410">
      <c r="A103" s="380" t="inlineStr">
        <is>
          <t>Model row 142 (BD Commission) restored to the BD Commission Detail engine with a $0 monthly floor.</t>
        </is>
      </c>
    </row>
    <row r="104" ht="15" customHeight="1" s="410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410">
      <c r="A105" s="380" t="inlineStr">
        <is>
          <t>OPEN: no field staff added for the four newly-activated jobs. Personnel is a fixed roster,</t>
        </is>
      </c>
    </row>
    <row r="106" ht="15" customHeight="1" s="410">
      <c r="A106" s="380" t="inlineStr">
        <is>
          <t xml:space="preserve">   so GC payroll does not scale with job count. Acama and Reseda each carry a named Sr Super.</t>
        </is>
      </c>
    </row>
    <row r="108" ht="15" customHeight="1" s="410">
      <c r="A108" s="380" t="inlineStr">
        <is>
          <t>FIX: Model row 158 (Klump Guarantee Fee) was hardwired to column I (Aug 2026) with no month test,</t>
        </is>
      </c>
    </row>
    <row r="109" ht="15" customHeight="1" s="410">
      <c r="A109" s="380" t="inlineStr">
        <is>
          <t xml:space="preserve">   so it booked $253,980 regardless of Klump's start month. Now month-tested against Projects!C11,</t>
        </is>
      </c>
    </row>
    <row r="110" ht="15" customHeight="1" s="410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410">
      <c r="A112" s="380" t="inlineStr">
        <is>
          <t>STAFFING: Personnel row 34 added - Project Coordinator on Brisa's profile, $90,000,</t>
        </is>
      </c>
    </row>
    <row r="113" ht="15" customHeight="1" s="410">
      <c r="A113" s="380" t="inlineStr">
        <is>
          <t xml:space="preserve">   start month 10 (Jan 2027). Wired into Model r111 (payroll), Model r131 (15% recruiting</t>
        </is>
      </c>
    </row>
    <row r="114" ht="15" customHeight="1" s="410">
      <c r="A114" s="380" t="inlineStr">
        <is>
          <t xml:space="preserve">   fee in the start month) and Helpers r4 (W2 basis, which drives taxes/benefits/WC/servicing).</t>
        </is>
      </c>
    </row>
    <row r="115" ht="15" customHeight="1" s="410">
      <c r="A115" s="380" t="inlineStr">
        <is>
          <t xml:space="preserve">   Personnel row 28 'Placeholder Asst Super' left inactive and available for the Apr-Jul 2027 gap.</t>
        </is>
      </c>
    </row>
    <row r="117" ht="15" customHeight="1" s="410">
      <c r="A117" s="380" t="inlineStr">
        <is>
          <t>FIX: Helpers rows 98/99 excluded bonding from the BD profit base only when 3rd St was</t>
        </is>
      </c>
    </row>
    <row r="118" ht="15" customHeight="1" s="410">
      <c r="A118" s="380" t="inlineStr">
        <is>
          <t xml:space="preserve">   active and started. Apr-2027 monthly GP net of tier-2 bonding was -$3,384, so row 98</t>
        </is>
      </c>
    </row>
    <row r="119" ht="15" customHeight="1" s="410">
      <c r="A119" s="380" t="inlineStr">
        <is>
          <t xml:space="preserve">   (BD fees / monthly GP) returned -54.3x and row 100 booked +$33.6m of phantom BD GP in</t>
        </is>
      </c>
    </row>
    <row r="120" ht="15" customHeight="1" s="410">
      <c r="A120" s="380" t="inlineStr">
        <is>
          <t xml:space="preserve">   one month. Bonding is now excluded unconditionally, per BD Commission tab note row 19.</t>
        </is>
      </c>
    </row>
    <row r="121" ht="15" customHeight="1" s="410">
      <c r="A121" s="380" t="inlineStr">
        <is>
          <t xml:space="preserve">   Analysis-only: Model row 142 draws on BD Commission Detail r53, so net income never moved.</t>
        </is>
      </c>
    </row>
    <row r="123" ht="15" customHeight="1" s="410">
      <c r="A123" s="380" t="inlineStr">
        <is>
          <t>ALT-2: identical to ALT-1 except Uplifters!B2 = Yes (the single program switch,</t>
        </is>
      </c>
    </row>
    <row r="124" ht="15" customHeight="1" s="410">
      <c r="A124" s="380" t="inlineStr">
        <is>
          <t xml:space="preserve">   feeding Model row 165 'Uplifters Total to SP' from Uplifters row 107).</t>
        </is>
      </c>
    </row>
    <row r="130" ht="15" customHeight="1" s="410">
      <c r="A130" s="380" t="inlineStr">
        <is>
          <t>DEFECT FIXES APPLIED 14 Aug 2026 (see _START HERE open items):</t>
        </is>
      </c>
    </row>
    <row r="131" ht="15" customHeight="1" s="410">
      <c r="A131" s="380" t="inlineStr">
        <is>
          <t xml:space="preserve">  r142 BD commission restored with a $0 monthly floor (was hardcoded 0 in the 4 HVN 3 files;</t>
        </is>
      </c>
    </row>
    <row r="132" ht="15" customHeight="1" s="410">
      <c r="A132" s="380" t="inlineStr">
        <is>
          <t xml:space="preserve">       live but unfloored in the other 7, so negative months credited income).</t>
        </is>
      </c>
    </row>
    <row r="133" ht="15" customHeight="1" s="410">
      <c r="A133" s="380" t="inlineStr">
        <is>
          <t xml:space="preserve">  r158 Klump guarantee fee month-tested (was pinned to Aug-26 regardless of start).</t>
        </is>
      </c>
    </row>
    <row r="134" ht="15" customHeight="1" s="410">
      <c r="A134" s="380" t="inlineStr">
        <is>
          <t xml:space="preserve">  Appendix r15/r21 Steyn fees month-tested (were pinned to Aug-26 / Sep-26).</t>
        </is>
      </c>
    </row>
    <row r="135" ht="15" customHeight="1" s="410">
      <c r="A135" s="380" t="inlineStr">
        <is>
          <t xml:space="preserve">  r155 12th &amp; Fir zeroed Apr-Jun 26 in every file, per Chris — nil actuals posted.</t>
        </is>
      </c>
    </row>
    <row r="136" ht="15" customHeight="1" s="410">
      <c r="A136" s="380" t="inlineStr">
        <is>
          <t xml:space="preserve">  Helpers r98/r99 exclude bonding unconditionally (gate on 3rd St removed).</t>
        </is>
      </c>
    </row>
    <row r="137" ht="15" customHeight="1" s="410">
      <c r="A137" s="380" t="inlineStr">
        <is>
          <t xml:space="preserve">  r105/r106 bonding now covers Projects rows 17-46, not just 6-16.</t>
        </is>
      </c>
    </row>
    <row r="138" ht="15" customHeight="1" s="410">
      <c r="A138" s="380" t="inlineStr">
        <is>
          <t xml:space="preserve">  r258 added so bonded HVN deals appear in bonding outstanding.</t>
        </is>
      </c>
    </row>
    <row r="139" ht="15" customHeight="1" s="410">
      <c r="A139" s="380" t="inlineStr">
        <is>
          <t xml:space="preserve">  NOT changed: Personnel does not scale with job count — LV BD scenarios stay optimistic.</t>
        </is>
      </c>
    </row>
    <row r="141" ht="15" customHeight="1" s="410">
      <c r="A141" s="380" t="inlineStr">
        <is>
          <t>STAFFING ASSUMPTION (added 14 Aug 2026): two further senior superintendents, covering the</t>
        </is>
      </c>
    </row>
    <row r="142" ht="15" customHeight="1" s="410">
      <c r="A142" s="380" t="inlineStr">
        <is>
          <t xml:space="preserve">   Troost start and the Klump/Scott pair rather than recycling crews through the Apr-Jul 2027 overlap:</t>
        </is>
      </c>
    </row>
    <row r="143" ht="15" customHeight="1" s="410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410">
      <c r="A144" s="380" t="inlineStr">
        <is>
          <t xml:space="preserve">   Personnel row 47 Sr Super (Klump/Scott), $160,000, starts month 10 (Jan 2027), covering both jobs.</t>
        </is>
      </c>
    </row>
    <row r="145" ht="15" customHeight="1" s="410">
      <c r="A145" s="380" t="inlineStr">
        <is>
          <t xml:space="preserve">   Salary follows the named-project convention (Acama and Reseda Sr Supers, both $160,000).</t>
        </is>
      </c>
    </row>
    <row r="146" ht="15" customHeight="1" s="410">
      <c r="A146" s="380" t="inlineStr">
        <is>
          <t xml:space="preserve">   Field roster adds now total 5 heads: 1 coordinator + 4 senior/assistant supers.</t>
        </is>
      </c>
    </row>
    <row r="147" ht="15" customHeight="1" s="410">
      <c r="A147" s="380" t="inlineStr">
        <is>
          <t xml:space="preserve">   OPEN: both of these are modelling assumptions, not commitments. Troost could instead take the</t>
        </is>
      </c>
    </row>
    <row r="148" ht="15" customHeight="1" s="410">
      <c r="A148" s="380" t="inlineStr">
        <is>
          <t xml:space="preserve">   Crenshaw crew (saves $160,000/yr but spends the April slack), and the Klump/Scott pair may need</t>
        </is>
      </c>
    </row>
    <row r="149" ht="15" customHeight="1" s="410">
      <c r="A149" s="380" t="inlineStr">
        <is>
          <t xml:space="preserve">   two heads once both are framing. See 'ALT-2 Sequencing.html' for the full discussion list.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875" defaultRowHeight="15" zeroHeight="0" outlineLevelRow="0"/>
  <cols>
    <col width="10" customWidth="1" style="380" min="1" max="1"/>
    <col width="12" customWidth="1" style="380" min="2" max="2"/>
  </cols>
  <sheetData>
    <row r="1" ht="15" customFormat="1" customHeight="1" s="380">
      <c r="A1" s="383" t="inlineStr">
        <is>
          <t>Month</t>
        </is>
      </c>
      <c r="B1" s="383" t="inlineStr">
        <is>
          <t>Factor</t>
        </is>
      </c>
    </row>
    <row r="2" ht="15" customFormat="1" customHeight="1" s="380">
      <c r="A2" s="674" t="n">
        <v>1</v>
      </c>
      <c r="B2" s="679">
        <f>(1+Assumptions!$B$26)^INT((A2-1)/12)</f>
        <v/>
      </c>
    </row>
    <row r="3" ht="15" customFormat="1" customHeight="1" s="380">
      <c r="A3" s="674" t="n">
        <v>2</v>
      </c>
      <c r="B3" s="679">
        <f>(1+Assumptions!$B$26)^INT((A3-1)/12)</f>
        <v/>
      </c>
    </row>
    <row r="4" ht="15" customFormat="1" customHeight="1" s="380">
      <c r="A4" s="674" t="n">
        <v>3</v>
      </c>
      <c r="B4" s="679">
        <f>(1+Assumptions!$B$26)^INT((A4-1)/12)</f>
        <v/>
      </c>
    </row>
    <row r="5" ht="15" customFormat="1" customHeight="1" s="380">
      <c r="A5" s="674" t="n">
        <v>4</v>
      </c>
      <c r="B5" s="679">
        <f>(1+Assumptions!$B$26)^INT((A5-1)/12)</f>
        <v/>
      </c>
    </row>
    <row r="6" ht="15" customFormat="1" customHeight="1" s="380">
      <c r="A6" s="674" t="n">
        <v>5</v>
      </c>
      <c r="B6" s="679">
        <f>(1+Assumptions!$B$26)^INT((A6-1)/12)</f>
        <v/>
      </c>
    </row>
    <row r="7" ht="15" customFormat="1" customHeight="1" s="380">
      <c r="A7" s="674" t="n">
        <v>6</v>
      </c>
      <c r="B7" s="679">
        <f>(1+Assumptions!$B$26)^INT((A7-1)/12)</f>
        <v/>
      </c>
    </row>
    <row r="8" ht="15" customFormat="1" customHeight="1" s="380">
      <c r="A8" s="674" t="n">
        <v>7</v>
      </c>
      <c r="B8" s="679">
        <f>(1+Assumptions!$B$26)^INT((A8-1)/12)</f>
        <v/>
      </c>
    </row>
    <row r="9" ht="15" customFormat="1" customHeight="1" s="380">
      <c r="A9" s="674" t="n">
        <v>8</v>
      </c>
      <c r="B9" s="679">
        <f>(1+Assumptions!$B$26)^INT((A9-1)/12)</f>
        <v/>
      </c>
    </row>
    <row r="10" ht="15" customFormat="1" customHeight="1" s="380">
      <c r="A10" s="674" t="n">
        <v>9</v>
      </c>
      <c r="B10" s="679">
        <f>(1+Assumptions!$B$26)^INT((A10-1)/12)</f>
        <v/>
      </c>
    </row>
    <row r="11" ht="15" customFormat="1" customHeight="1" s="380">
      <c r="A11" s="674" t="n">
        <v>10</v>
      </c>
      <c r="B11" s="679">
        <f>(1+Assumptions!$B$26)^INT((A11-1)/12)</f>
        <v/>
      </c>
    </row>
    <row r="12" ht="15" customFormat="1" customHeight="1" s="380">
      <c r="A12" s="674" t="n">
        <v>11</v>
      </c>
      <c r="B12" s="679">
        <f>(1+Assumptions!$B$26)^INT((A12-1)/12)</f>
        <v/>
      </c>
    </row>
    <row r="13" ht="15" customFormat="1" customHeight="1" s="380">
      <c r="A13" s="674" t="n">
        <v>12</v>
      </c>
      <c r="B13" s="679">
        <f>(1+Assumptions!$B$26)^INT((A13-1)/12)</f>
        <v/>
      </c>
    </row>
    <row r="14" ht="15" customFormat="1" customHeight="1" s="380">
      <c r="A14" s="674" t="n">
        <v>13</v>
      </c>
      <c r="B14" s="679">
        <f>(1+Assumptions!$B$26)^INT((A14-1)/12)</f>
        <v/>
      </c>
    </row>
    <row r="15" ht="15" customFormat="1" customHeight="1" s="380">
      <c r="A15" s="674" t="n">
        <v>14</v>
      </c>
      <c r="B15" s="679">
        <f>(1+Assumptions!$B$26)^INT((A15-1)/12)</f>
        <v/>
      </c>
    </row>
    <row r="16" ht="15" customFormat="1" customHeight="1" s="380">
      <c r="A16" s="674" t="n">
        <v>15</v>
      </c>
      <c r="B16" s="679">
        <f>(1+Assumptions!$B$26)^INT((A16-1)/12)</f>
        <v/>
      </c>
    </row>
    <row r="17" ht="15" customFormat="1" customHeight="1" s="380">
      <c r="A17" s="674" t="n">
        <v>16</v>
      </c>
      <c r="B17" s="679">
        <f>(1+Assumptions!$B$26)^INT((A17-1)/12)</f>
        <v/>
      </c>
    </row>
    <row r="18" ht="15" customFormat="1" customHeight="1" s="380">
      <c r="A18" s="674" t="n">
        <v>17</v>
      </c>
      <c r="B18" s="679">
        <f>(1+Assumptions!$B$26)^INT((A18-1)/12)</f>
        <v/>
      </c>
    </row>
    <row r="19" ht="15" customFormat="1" customHeight="1" s="380">
      <c r="A19" s="674" t="n">
        <v>18</v>
      </c>
      <c r="B19" s="679">
        <f>(1+Assumptions!$B$26)^INT((A19-1)/12)</f>
        <v/>
      </c>
    </row>
    <row r="20" ht="15" customFormat="1" customHeight="1" s="380">
      <c r="A20" s="674" t="n">
        <v>19</v>
      </c>
      <c r="B20" s="679">
        <f>(1+Assumptions!$B$26)^INT((A20-1)/12)</f>
        <v/>
      </c>
    </row>
    <row r="21" ht="15" customFormat="1" customHeight="1" s="380">
      <c r="A21" s="674" t="n">
        <v>20</v>
      </c>
      <c r="B21" s="679">
        <f>(1+Assumptions!$B$26)^INT((A21-1)/12)</f>
        <v/>
      </c>
    </row>
    <row r="22" ht="15" customFormat="1" customHeight="1" s="380">
      <c r="A22" s="674" t="n">
        <v>21</v>
      </c>
      <c r="B22" s="679">
        <f>(1+Assumptions!$B$26)^INT((A22-1)/12)</f>
        <v/>
      </c>
    </row>
    <row r="23" ht="15" customFormat="1" customHeight="1" s="380">
      <c r="A23" s="674" t="n">
        <v>22</v>
      </c>
      <c r="B23" s="679">
        <f>(1+Assumptions!$B$26)^INT((A23-1)/12)</f>
        <v/>
      </c>
    </row>
    <row r="24" ht="15" customFormat="1" customHeight="1" s="380">
      <c r="A24" s="674" t="n">
        <v>23</v>
      </c>
      <c r="B24" s="679">
        <f>(1+Assumptions!$B$26)^INT((A24-1)/12)</f>
        <v/>
      </c>
    </row>
    <row r="25" ht="15" customFormat="1" customHeight="1" s="380">
      <c r="A25" s="674" t="n">
        <v>24</v>
      </c>
      <c r="B25" s="679">
        <f>(1+Assumptions!$B$26)^INT((A25-1)/12)</f>
        <v/>
      </c>
    </row>
    <row r="26" ht="15" customFormat="1" customHeight="1" s="380">
      <c r="A26" s="674" t="n">
        <v>25</v>
      </c>
      <c r="B26" s="679">
        <f>(1+Assumptions!$B$26)^INT((A26-1)/12)</f>
        <v/>
      </c>
    </row>
    <row r="27" ht="15" customFormat="1" customHeight="1" s="380">
      <c r="A27" s="674" t="n">
        <v>26</v>
      </c>
      <c r="B27" s="679">
        <f>(1+Assumptions!$B$26)^INT((A27-1)/12)</f>
        <v/>
      </c>
    </row>
    <row r="28" ht="15" customFormat="1" customHeight="1" s="380">
      <c r="A28" s="674" t="n">
        <v>27</v>
      </c>
      <c r="B28" s="679">
        <f>(1+Assumptions!$B$26)^INT((A28-1)/12)</f>
        <v/>
      </c>
    </row>
    <row r="29" ht="15" customFormat="1" customHeight="1" s="380">
      <c r="A29" s="674" t="n">
        <v>28</v>
      </c>
      <c r="B29" s="679">
        <f>(1+Assumptions!$B$26)^INT((A29-1)/12)</f>
        <v/>
      </c>
    </row>
    <row r="30" ht="15" customFormat="1" customHeight="1" s="380">
      <c r="A30" s="674" t="n">
        <v>29</v>
      </c>
      <c r="B30" s="679">
        <f>(1+Assumptions!$B$26)^INT((A30-1)/12)</f>
        <v/>
      </c>
    </row>
    <row r="31" ht="15" customFormat="1" customHeight="1" s="380">
      <c r="A31" s="674" t="n">
        <v>30</v>
      </c>
      <c r="B31" s="679">
        <f>(1+Assumptions!$B$26)^INT((A31-1)/12)</f>
        <v/>
      </c>
    </row>
    <row r="32" ht="15" customFormat="1" customHeight="1" s="380">
      <c r="A32" s="674" t="n">
        <v>31</v>
      </c>
      <c r="B32" s="679">
        <f>(1+Assumptions!$B$26)^INT((A32-1)/12)</f>
        <v/>
      </c>
    </row>
    <row r="33" ht="15" customFormat="1" customHeight="1" s="380">
      <c r="A33" s="674" t="n">
        <v>32</v>
      </c>
      <c r="B33" s="679">
        <f>(1+Assumptions!$B$26)^INT((A33-1)/12)</f>
        <v/>
      </c>
    </row>
    <row r="34" ht="15" customFormat="1" customHeight="1" s="380">
      <c r="A34" s="674" t="n">
        <v>33</v>
      </c>
      <c r="B34" s="679">
        <f>(1+Assumptions!$B$26)^INT((A34-1)/12)</f>
        <v/>
      </c>
    </row>
    <row r="35" ht="15" customFormat="1" customHeight="1" s="380">
      <c r="A35" s="674" t="n">
        <v>34</v>
      </c>
      <c r="B35" s="679">
        <f>(1+Assumptions!$B$26)^INT((A35-1)/12)</f>
        <v/>
      </c>
    </row>
    <row r="36" ht="15" customFormat="1" customHeight="1" s="380">
      <c r="A36" s="674" t="n">
        <v>35</v>
      </c>
      <c r="B36" s="679">
        <f>(1+Assumptions!$B$26)^INT((A36-1)/12)</f>
        <v/>
      </c>
    </row>
    <row r="37" ht="15" customFormat="1" customHeight="1" s="380">
      <c r="A37" s="674" t="n">
        <v>36</v>
      </c>
      <c r="B37" s="679">
        <f>(1+Assumptions!$B$26)^INT((A37-1)/12)</f>
        <v/>
      </c>
    </row>
    <row r="38" ht="15" customFormat="1" customHeight="1" s="380">
      <c r="A38" s="674" t="n">
        <v>37</v>
      </c>
      <c r="B38" s="679">
        <f>(1+Assumptions!$B$26)^INT((A38-1)/12)</f>
        <v/>
      </c>
    </row>
    <row r="39" ht="15" customFormat="1" customHeight="1" s="380">
      <c r="A39" s="674" t="n">
        <v>38</v>
      </c>
      <c r="B39" s="679">
        <f>(1+Assumptions!$B$26)^INT((A39-1)/12)</f>
        <v/>
      </c>
    </row>
    <row r="40" ht="15" customFormat="1" customHeight="1" s="380">
      <c r="A40" s="674" t="n">
        <v>39</v>
      </c>
      <c r="B40" s="679">
        <f>(1+Assumptions!$B$26)^INT((A40-1)/12)</f>
        <v/>
      </c>
    </row>
    <row r="41" ht="15" customFormat="1" customHeight="1" s="380">
      <c r="A41" s="674" t="n">
        <v>40</v>
      </c>
      <c r="B41" s="679">
        <f>(1+Assumptions!$B$26)^INT((A41-1)/12)</f>
        <v/>
      </c>
    </row>
    <row r="42" ht="15" customFormat="1" customHeight="1" s="380">
      <c r="A42" s="674" t="n">
        <v>41</v>
      </c>
      <c r="B42" s="679">
        <f>(1+Assumptions!$B$26)^INT((A42-1)/12)</f>
        <v/>
      </c>
    </row>
    <row r="43" ht="15" customFormat="1" customHeight="1" s="380">
      <c r="A43" s="674" t="n">
        <v>42</v>
      </c>
      <c r="B43" s="679">
        <f>(1+Assumptions!$B$26)^INT((A43-1)/12)</f>
        <v/>
      </c>
    </row>
    <row r="44" ht="15" customFormat="1" customHeight="1" s="380">
      <c r="A44" s="674" t="n">
        <v>43</v>
      </c>
      <c r="B44" s="679">
        <f>(1+Assumptions!$B$26)^INT((A44-1)/12)</f>
        <v/>
      </c>
    </row>
    <row r="45" ht="15" customFormat="1" customHeight="1" s="380">
      <c r="A45" s="674" t="n">
        <v>44</v>
      </c>
      <c r="B45" s="679">
        <f>(1+Assumptions!$B$26)^INT((A45-1)/12)</f>
        <v/>
      </c>
    </row>
    <row r="46" ht="15" customFormat="1" customHeight="1" s="380">
      <c r="A46" s="674" t="n">
        <v>45</v>
      </c>
      <c r="B46" s="679">
        <f>(1+Assumptions!$B$26)^INT((A46-1)/12)</f>
        <v/>
      </c>
    </row>
    <row r="47" ht="15" customFormat="1" customHeight="1" s="380">
      <c r="A47" s="674" t="n">
        <v>46</v>
      </c>
      <c r="B47" s="679">
        <f>(1+Assumptions!$B$26)^INT((A47-1)/12)</f>
        <v/>
      </c>
    </row>
    <row r="48" ht="15" customFormat="1" customHeight="1" s="380">
      <c r="A48" s="674" t="n">
        <v>47</v>
      </c>
      <c r="B48" s="679">
        <f>(1+Assumptions!$B$26)^INT((A48-1)/12)</f>
        <v/>
      </c>
    </row>
    <row r="49" ht="15" customFormat="1" customHeight="1" s="380">
      <c r="A49" s="674" t="n">
        <v>48</v>
      </c>
      <c r="B49" s="679">
        <f>(1+Assumptions!$B$26)^INT((A49-1)/12)</f>
        <v/>
      </c>
    </row>
    <row r="50" ht="15" customFormat="1" customHeight="1" s="380">
      <c r="A50" s="674" t="n">
        <v>49</v>
      </c>
      <c r="B50" s="679">
        <f>(1+Assumptions!$B$26)^INT((A50-1)/12)</f>
        <v/>
      </c>
    </row>
    <row r="51" ht="15" customFormat="1" customHeight="1" s="380">
      <c r="A51" s="674" t="n">
        <v>50</v>
      </c>
      <c r="B51" s="679">
        <f>(1+Assumptions!$B$26)^INT((A51-1)/12)</f>
        <v/>
      </c>
    </row>
    <row r="52" ht="15" customFormat="1" customHeight="1" s="380">
      <c r="A52" s="674" t="n">
        <v>51</v>
      </c>
      <c r="B52" s="679">
        <f>(1+Assumptions!$B$26)^INT((A52-1)/12)</f>
        <v/>
      </c>
    </row>
    <row r="53" ht="15" customFormat="1" customHeight="1" s="380">
      <c r="A53" s="674" t="n">
        <v>52</v>
      </c>
      <c r="B53" s="679">
        <f>(1+Assumptions!$B$26)^INT((A53-1)/12)</f>
        <v/>
      </c>
    </row>
    <row r="54" ht="15" customFormat="1" customHeight="1" s="380">
      <c r="A54" s="674" t="n">
        <v>53</v>
      </c>
      <c r="B54" s="679">
        <f>(1+Assumptions!$B$26)^INT((A54-1)/12)</f>
        <v/>
      </c>
    </row>
    <row r="55" ht="15" customFormat="1" customHeight="1" s="380">
      <c r="A55" s="674" t="n">
        <v>54</v>
      </c>
      <c r="B55" s="679">
        <f>(1+Assumptions!$B$26)^INT((A55-1)/12)</f>
        <v/>
      </c>
    </row>
    <row r="56" ht="15" customFormat="1" customHeight="1" s="380">
      <c r="A56" s="674" t="n">
        <v>55</v>
      </c>
      <c r="B56" s="679">
        <f>(1+Assumptions!$B$26)^INT((A56-1)/12)</f>
        <v/>
      </c>
    </row>
    <row r="57" ht="15" customFormat="1" customHeight="1" s="380">
      <c r="A57" s="674" t="n">
        <v>56</v>
      </c>
      <c r="B57" s="679">
        <f>(1+Assumptions!$B$26)^INT((A57-1)/12)</f>
        <v/>
      </c>
    </row>
    <row r="58" ht="15" customFormat="1" customHeight="1" s="380">
      <c r="A58" s="674" t="n">
        <v>57</v>
      </c>
      <c r="B58" s="679">
        <f>(1+Assumptions!$B$26)^INT((A58-1)/12)</f>
        <v/>
      </c>
    </row>
    <row r="59" ht="15" customFormat="1" customHeight="1" s="380">
      <c r="A59" s="674" t="n">
        <v>58</v>
      </c>
      <c r="B59" s="679">
        <f>(1+Assumptions!$B$26)^INT((A59-1)/12)</f>
        <v/>
      </c>
    </row>
    <row r="60" ht="15" customFormat="1" customHeight="1" s="380">
      <c r="A60" s="674" t="n">
        <v>59</v>
      </c>
      <c r="B60" s="679">
        <f>(1+Assumptions!$B$26)^INT((A60-1)/12)</f>
        <v/>
      </c>
    </row>
    <row r="61" ht="15" customFormat="1" customHeight="1" s="380">
      <c r="A61" s="674" t="n">
        <v>60</v>
      </c>
      <c r="B61" s="679">
        <f>(1+Assumptions!$B$26)^INT((A61-1)/12)</f>
        <v/>
      </c>
    </row>
    <row r="62" ht="15" customFormat="1" customHeight="1" s="380">
      <c r="A62" s="674" t="n">
        <v>61</v>
      </c>
      <c r="B62" s="679">
        <f>(1+Assumptions!$B$26)^INT((A62-1)/12)</f>
        <v/>
      </c>
    </row>
    <row r="63" ht="15" customFormat="1" customHeight="1" s="380">
      <c r="A63" s="674" t="n">
        <v>62</v>
      </c>
      <c r="B63" s="679">
        <f>(1+Assumptions!$B$26)^INT((A63-1)/12)</f>
        <v/>
      </c>
    </row>
    <row r="64" ht="15" customFormat="1" customHeight="1" s="380">
      <c r="A64" s="674" t="n">
        <v>63</v>
      </c>
      <c r="B64" s="679">
        <f>(1+Assumptions!$B$26)^INT((A64-1)/12)</f>
        <v/>
      </c>
    </row>
    <row r="65" ht="15" customFormat="1" customHeight="1" s="380">
      <c r="A65" s="674" t="n">
        <v>64</v>
      </c>
      <c r="B65" s="679">
        <f>(1+Assumptions!$B$26)^INT((A65-1)/12)</f>
        <v/>
      </c>
    </row>
    <row r="66" ht="15" customFormat="1" customHeight="1" s="380">
      <c r="A66" s="674" t="n">
        <v>65</v>
      </c>
      <c r="B66" s="679">
        <f>(1+Assumptions!$B$26)^INT((A66-1)/12)</f>
        <v/>
      </c>
    </row>
    <row r="67" ht="15" customFormat="1" customHeight="1" s="380">
      <c r="A67" s="674" t="n">
        <v>66</v>
      </c>
      <c r="B67" s="679">
        <f>(1+Assumptions!$B$26)^INT((A67-1)/12)</f>
        <v/>
      </c>
    </row>
    <row r="68" ht="15" customFormat="1" customHeight="1" s="380">
      <c r="A68" s="674" t="n">
        <v>67</v>
      </c>
      <c r="B68" s="679">
        <f>(1+Assumptions!$B$26)^INT((A68-1)/12)</f>
        <v/>
      </c>
    </row>
    <row r="69" ht="15" customFormat="1" customHeight="1" s="380">
      <c r="A69" s="674" t="n">
        <v>68</v>
      </c>
      <c r="B69" s="679">
        <f>(1+Assumptions!$B$26)^INT((A69-1)/12)</f>
        <v/>
      </c>
    </row>
    <row r="70" ht="15" customFormat="1" customHeight="1" s="380">
      <c r="A70" s="674" t="n">
        <v>69</v>
      </c>
      <c r="B70" s="679">
        <f>(1+Assumptions!$B$26)^INT((A70-1)/12)</f>
        <v/>
      </c>
    </row>
    <row r="71" ht="15" customFormat="1" customHeight="1" s="380">
      <c r="A71" s="674" t="n">
        <v>70</v>
      </c>
      <c r="B71" s="679">
        <f>(1+Assumptions!$B$26)^INT((A71-1)/12)</f>
        <v/>
      </c>
    </row>
    <row r="72" ht="15" customFormat="1" customHeight="1" s="380">
      <c r="A72" s="674" t="n">
        <v>71</v>
      </c>
      <c r="B72" s="679">
        <f>(1+Assumptions!$B$26)^INT((A72-1)/12)</f>
        <v/>
      </c>
    </row>
    <row r="73" ht="15" customFormat="1" customHeight="1" s="380">
      <c r="A73" s="674" t="n">
        <v>72</v>
      </c>
      <c r="B73" s="679">
        <f>(1+Assumptions!$B$26)^INT((A73-1)/12)</f>
        <v/>
      </c>
    </row>
    <row r="74" ht="15" customFormat="1" customHeight="1" s="380">
      <c r="A74" s="674" t="n">
        <v>73</v>
      </c>
      <c r="B74" s="679">
        <f>(1+Assumptions!$B$26)^INT((A74-1)/12)</f>
        <v/>
      </c>
    </row>
    <row r="75" ht="15" customFormat="1" customHeight="1" s="380">
      <c r="A75" s="674" t="n">
        <v>74</v>
      </c>
      <c r="B75" s="679">
        <f>(1+Assumptions!$B$26)^INT((A75-1)/12)</f>
        <v/>
      </c>
    </row>
    <row r="76" ht="15" customFormat="1" customHeight="1" s="380">
      <c r="A76" s="674" t="n">
        <v>75</v>
      </c>
      <c r="B76" s="679">
        <f>(1+Assumptions!$B$26)^INT((A76-1)/12)</f>
        <v/>
      </c>
    </row>
    <row r="77" ht="15" customFormat="1" customHeight="1" s="380">
      <c r="A77" s="674" t="n">
        <v>76</v>
      </c>
      <c r="B77" s="679">
        <f>(1+Assumptions!$B$26)^INT((A77-1)/12)</f>
        <v/>
      </c>
    </row>
    <row r="78" ht="15" customFormat="1" customHeight="1" s="380">
      <c r="A78" s="674" t="n">
        <v>77</v>
      </c>
      <c r="B78" s="679">
        <f>(1+Assumptions!$B$26)^INT((A78-1)/12)</f>
        <v/>
      </c>
    </row>
    <row r="79" ht="15" customFormat="1" customHeight="1" s="380">
      <c r="A79" s="674" t="n">
        <v>78</v>
      </c>
      <c r="B79" s="679">
        <f>(1+Assumptions!$B$26)^INT((A79-1)/12)</f>
        <v/>
      </c>
    </row>
    <row r="80" ht="15" customFormat="1" customHeight="1" s="380">
      <c r="A80" s="674" t="n">
        <v>79</v>
      </c>
      <c r="B80" s="679">
        <f>(1+Assumptions!$B$26)^INT((A80-1)/12)</f>
        <v/>
      </c>
    </row>
    <row r="81" ht="15" customFormat="1" customHeight="1" s="380">
      <c r="A81" s="674" t="n">
        <v>80</v>
      </c>
      <c r="B81" s="679">
        <f>(1+Assumptions!$B$26)^INT((A81-1)/12)</f>
        <v/>
      </c>
    </row>
    <row r="82" ht="15" customFormat="1" customHeight="1" s="380">
      <c r="A82" s="674" t="n">
        <v>81</v>
      </c>
      <c r="B82" s="679">
        <f>(1+Assumptions!$B$26)^INT((A82-1)/12)</f>
        <v/>
      </c>
    </row>
    <row r="83" ht="15" customFormat="1" customHeight="1" s="380">
      <c r="A83" s="674" t="n">
        <v>82</v>
      </c>
      <c r="B83" s="679">
        <f>(1+Assumptions!$B$26)^INT((A83-1)/12)</f>
        <v/>
      </c>
    </row>
    <row r="84" ht="15" customFormat="1" customHeight="1" s="380">
      <c r="A84" s="674" t="n">
        <v>83</v>
      </c>
      <c r="B84" s="679">
        <f>(1+Assumptions!$B$26)^INT((A84-1)/12)</f>
        <v/>
      </c>
    </row>
    <row r="85" ht="15" customFormat="1" customHeight="1" s="380">
      <c r="A85" s="674" t="n">
        <v>84</v>
      </c>
      <c r="B85" s="679">
        <f>(1+Assumptions!$B$26)^INT((A85-1)/12)</f>
        <v/>
      </c>
    </row>
    <row r="86" ht="15" customFormat="1" customHeight="1" s="380">
      <c r="A86" s="380" t="n">
        <v>85</v>
      </c>
      <c r="B86" s="380">
        <f>(1+Assumptions!$B$26)^INT((A86-1)/12)</f>
        <v/>
      </c>
    </row>
    <row r="87" ht="15" customFormat="1" customHeight="1" s="380">
      <c r="A87" s="380" t="n">
        <v>86</v>
      </c>
      <c r="B87" s="380">
        <f>(1+Assumptions!$B$26)^INT((A87-1)/12)</f>
        <v/>
      </c>
    </row>
    <row r="88" ht="15" customFormat="1" customHeight="1" s="380">
      <c r="A88" s="380" t="n">
        <v>87</v>
      </c>
      <c r="B88" s="380">
        <f>(1+Assumptions!$B$26)^INT((A88-1)/12)</f>
        <v/>
      </c>
    </row>
    <row r="89" ht="15" customFormat="1" customHeight="1" s="380">
      <c r="A89" s="380" t="n">
        <v>88</v>
      </c>
      <c r="B89" s="380">
        <f>(1+Assumptions!$B$26)^INT((A89-1)/12)</f>
        <v/>
      </c>
    </row>
    <row r="90" ht="15" customFormat="1" customHeight="1" s="380">
      <c r="A90" s="380" t="n">
        <v>89</v>
      </c>
      <c r="B90" s="380">
        <f>(1+Assumptions!$B$26)^INT((A90-1)/12)</f>
        <v/>
      </c>
    </row>
    <row r="91" ht="15" customFormat="1" customHeight="1" s="380">
      <c r="A91" s="380" t="n">
        <v>90</v>
      </c>
      <c r="B91" s="380">
        <f>(1+Assumptions!$B$26)^INT((A91-1)/12)</f>
        <v/>
      </c>
    </row>
    <row r="92" ht="15" customFormat="1" customHeight="1" s="380">
      <c r="A92" s="380" t="n">
        <v>91</v>
      </c>
      <c r="B92" s="380">
        <f>(1+Assumptions!$B$26)^INT((A92-1)/12)</f>
        <v/>
      </c>
    </row>
    <row r="93" ht="15" customFormat="1" customHeight="1" s="380">
      <c r="A93" s="380" t="n">
        <v>92</v>
      </c>
      <c r="B93" s="380">
        <f>(1+Assumptions!$B$26)^INT((A93-1)/12)</f>
        <v/>
      </c>
    </row>
    <row r="94" ht="15" customFormat="1" customHeight="1" s="380">
      <c r="A94" s="380" t="n">
        <v>93</v>
      </c>
      <c r="B94" s="380">
        <f>(1+Assumptions!$B$26)^INT((A94-1)/12)</f>
        <v/>
      </c>
    </row>
    <row r="95" ht="15" customFormat="1" customHeight="1" s="380">
      <c r="A95" s="380" t="n">
        <v>94</v>
      </c>
      <c r="B95" s="380">
        <f>(1+Assumptions!$B$26)^INT((A95-1)/12)</f>
        <v/>
      </c>
    </row>
    <row r="96" ht="15" customFormat="1" customHeight="1" s="380">
      <c r="A96" s="380" t="n">
        <v>95</v>
      </c>
      <c r="B96" s="380">
        <f>(1+Assumptions!$B$26)^INT((A96-1)/12)</f>
        <v/>
      </c>
    </row>
    <row r="97" ht="15" customFormat="1" customHeight="1" s="380">
      <c r="A97" s="380" t="n">
        <v>96</v>
      </c>
      <c r="B97" s="380">
        <f>(1+Assumptions!$B$26)^INT((A97-1)/12)</f>
        <v/>
      </c>
    </row>
    <row r="98" ht="15" customFormat="1" customHeight="1" s="380">
      <c r="A98" s="380" t="n">
        <v>97</v>
      </c>
      <c r="B98" s="380">
        <f>(1+Assumptions!$B$26)^INT((A98-1)/12)</f>
        <v/>
      </c>
    </row>
    <row r="99" ht="15" customFormat="1" customHeight="1" s="380">
      <c r="A99" s="380" t="n">
        <v>98</v>
      </c>
      <c r="B99" s="380">
        <f>(1+Assumptions!$B$26)^INT((A99-1)/12)</f>
        <v/>
      </c>
    </row>
    <row r="100" ht="15" customFormat="1" customHeight="1" s="380">
      <c r="A100" s="380" t="n">
        <v>99</v>
      </c>
      <c r="B100" s="380">
        <f>(1+Assumptions!$B$26)^INT((A100-1)/12)</f>
        <v/>
      </c>
    </row>
    <row r="101" ht="15" customFormat="1" customHeight="1" s="380">
      <c r="A101" s="380" t="n">
        <v>100</v>
      </c>
      <c r="B101" s="380">
        <f>(1+Assumptions!$B$26)^INT((A101-1)/12)</f>
        <v/>
      </c>
    </row>
    <row r="102" ht="15" customFormat="1" customHeight="1" s="380">
      <c r="A102" s="380" t="n">
        <v>101</v>
      </c>
      <c r="B102" s="380">
        <f>(1+Assumptions!$B$26)^INT((A102-1)/12)</f>
        <v/>
      </c>
    </row>
    <row r="103" ht="15" customFormat="1" customHeight="1" s="380">
      <c r="A103" s="380" t="n">
        <v>102</v>
      </c>
      <c r="B103" s="380">
        <f>(1+Assumptions!$B$26)^INT((A103-1)/12)</f>
        <v/>
      </c>
    </row>
    <row r="104" ht="15" customFormat="1" customHeight="1" s="380">
      <c r="A104" s="380" t="n">
        <v>103</v>
      </c>
      <c r="B104" s="380">
        <f>(1+Assumptions!$B$26)^INT((A104-1)/12)</f>
        <v/>
      </c>
    </row>
    <row r="105" ht="15" customFormat="1" customHeight="1" s="380">
      <c r="A105" s="380" t="n">
        <v>104</v>
      </c>
      <c r="B105" s="380">
        <f>(1+Assumptions!$B$26)^INT((A105-1)/12)</f>
        <v/>
      </c>
    </row>
    <row r="106" ht="15" customFormat="1" customHeight="1" s="380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Format="1" customHeight="1" s="380">
      <c r="A1" s="473" t="inlineStr">
        <is>
          <t>W2 Payroll Basis &amp; Bonding Calculations</t>
        </is>
      </c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  <c r="CI2" s="384" t="n">
        <v>48639</v>
      </c>
      <c r="CJ2" s="384" t="n">
        <v>48639</v>
      </c>
      <c r="CK2" s="384" t="n">
        <v>48639</v>
      </c>
      <c r="CL2" s="384" t="n">
        <v>48639</v>
      </c>
      <c r="CM2" s="384" t="n">
        <v>48639</v>
      </c>
      <c r="CN2" s="384" t="n">
        <v>48639</v>
      </c>
      <c r="CO2" s="384" t="n">
        <v>48639</v>
      </c>
      <c r="CP2" s="384" t="n">
        <v>48639</v>
      </c>
      <c r="CQ2" s="384" t="n">
        <v>48639</v>
      </c>
    </row>
    <row r="3" ht="15" customFormat="1" customHeight="1" s="380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Format="1" customHeight="1" s="380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Format="1" customHeight="1" s="380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Format="1" customHeight="1" s="380">
      <c r="A7" s="659" t="inlineStr">
        <is>
          <t>Bonding Outstanding by Project</t>
        </is>
      </c>
    </row>
    <row r="8" ht="15" customFormat="1" customHeight="1" s="380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Format="1" customHeight="1" s="380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Format="1" customHeight="1" s="380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Format="1" customHeight="1" s="380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Format="1" customHeight="1" s="380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Format="1" customHeight="1" s="380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Format="1" customHeight="1" s="380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Format="1" customHeight="1" s="380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Format="1" customHeight="1" s="380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Format="1" customHeight="1" s="380">
      <c r="A18" s="402" t="inlineStr">
        <is>
          <t>Steyn Fee Balance Tracking</t>
        </is>
      </c>
      <c r="B18" s="402" t="n"/>
      <c r="C18" s="402" t="n"/>
      <c r="D18" s="402" t="n"/>
      <c r="E18" s="402" t="n"/>
      <c r="F18" s="402" t="n"/>
      <c r="G18" s="402" t="n"/>
      <c r="H18" s="402" t="n"/>
      <c r="I18" s="402" t="n"/>
      <c r="J18" s="402" t="n"/>
      <c r="K18" s="402" t="n"/>
      <c r="L18" s="402" t="n"/>
      <c r="M18" s="402" t="n"/>
      <c r="N18" s="402" t="n"/>
      <c r="O18" s="402" t="n"/>
      <c r="P18" s="402" t="n"/>
      <c r="Q18" s="402" t="n"/>
      <c r="R18" s="402" t="n"/>
      <c r="S18" s="402" t="n"/>
      <c r="T18" s="402" t="n"/>
      <c r="U18" s="402" t="n"/>
      <c r="V18" s="402" t="n"/>
      <c r="W18" s="402" t="n"/>
      <c r="X18" s="402" t="n"/>
      <c r="Y18" s="402" t="n"/>
      <c r="Z18" s="402" t="n"/>
      <c r="AA18" s="402" t="n"/>
      <c r="AB18" s="402" t="n"/>
      <c r="AC18" s="402" t="n"/>
      <c r="AD18" s="402" t="n"/>
      <c r="AE18" s="402" t="n"/>
      <c r="AF18" s="402" t="n"/>
      <c r="AG18" s="402" t="n"/>
      <c r="AH18" s="402" t="n"/>
      <c r="AI18" s="402" t="n"/>
      <c r="AJ18" s="402" t="n"/>
      <c r="AK18" s="402" t="n"/>
      <c r="AL18" s="402" t="n"/>
      <c r="AM18" s="402" t="n"/>
      <c r="AN18" s="402" t="n"/>
      <c r="AO18" s="402" t="n"/>
      <c r="AP18" s="402" t="n"/>
      <c r="AQ18" s="402" t="n"/>
      <c r="AR18" s="402" t="n"/>
      <c r="AS18" s="402" t="n"/>
      <c r="AT18" s="402" t="n"/>
      <c r="AU18" s="402" t="n"/>
      <c r="AV18" s="402" t="n"/>
      <c r="AW18" s="402" t="n"/>
      <c r="AX18" s="402" t="n"/>
      <c r="AY18" s="402" t="n"/>
      <c r="AZ18" s="402" t="n"/>
      <c r="BA18" s="402" t="n"/>
      <c r="BB18" s="402" t="n"/>
      <c r="BC18" s="402" t="n"/>
      <c r="BD18" s="402" t="n"/>
      <c r="BE18" s="402" t="n"/>
      <c r="BF18" s="402" t="n"/>
      <c r="BG18" s="402" t="n"/>
      <c r="BH18" s="402" t="n"/>
      <c r="BI18" s="402" t="n"/>
      <c r="BJ18" s="402" t="n"/>
      <c r="BK18" s="402" t="n"/>
      <c r="BL18" s="402" t="n"/>
      <c r="BM18" s="402" t="n"/>
      <c r="BN18" s="402" t="n"/>
      <c r="BO18" s="402" t="n"/>
      <c r="BP18" s="402" t="n"/>
      <c r="BQ18" s="402" t="n"/>
      <c r="BR18" s="402" t="n"/>
      <c r="BS18" s="402" t="n"/>
      <c r="BT18" s="402" t="n"/>
      <c r="BU18" s="402" t="n"/>
      <c r="BV18" s="402" t="n"/>
      <c r="BW18" s="402" t="n"/>
      <c r="BX18" s="402" t="n"/>
      <c r="BY18" s="402" t="n"/>
      <c r="BZ18" s="402" t="n"/>
      <c r="CA18" s="402" t="n"/>
      <c r="CB18" s="402" t="n"/>
      <c r="CC18" s="402" t="n"/>
      <c r="CD18" s="402" t="n"/>
      <c r="CE18" s="402" t="n"/>
      <c r="CF18" s="402" t="n"/>
      <c r="CG18" s="402" t="n"/>
      <c r="CH18" s="402" t="n"/>
    </row>
    <row r="19" ht="15" customFormat="1" customHeight="1" s="380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Format="1" customHeight="1" s="380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Format="1" customHeight="1" s="380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Format="1" customHeight="1" s="380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Format="1" customHeight="1" s="380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Format="1" customHeight="1" s="380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Format="1" customHeight="1" s="380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Format="1" customHeight="1" s="380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Format="1" customHeight="1" s="380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Format="1" customHeight="1" s="380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Format="1" customHeight="1" s="380">
      <c r="A31" s="684" t="inlineStr">
        <is>
          <t>Last Quarterly LIHTC Rate</t>
        </is>
      </c>
    </row>
    <row r="32" ht="15" customFormat="1" customHeight="1" s="380">
      <c r="A32" s="685" t="inlineStr">
        <is>
          <t>Francis</t>
        </is>
      </c>
      <c r="B32" s="595">
        <f>LOOKUP(2,1/(Model!E164:CG164&gt;0),Model!E164:CG164)</f>
        <v/>
      </c>
    </row>
    <row r="33" ht="15" customFormat="1" customHeight="1" s="380">
      <c r="A33" s="685" t="inlineStr">
        <is>
          <t>3rd St</t>
        </is>
      </c>
      <c r="B33" s="595">
        <f>LOOKUP(2,1/(Model!E166:CG166&gt;0),Model!E166:CG166)</f>
        <v/>
      </c>
    </row>
    <row r="34" ht="15" customFormat="1" customHeight="1" s="380">
      <c r="A34" s="685" t="inlineStr">
        <is>
          <t>Reseda</t>
        </is>
      </c>
      <c r="B34" s="595">
        <f>LOOKUP(2,1/(Model!E165:CG165&gt;0),Model!E165:CG165)</f>
        <v/>
      </c>
    </row>
    <row r="36" ht="15" customFormat="1" customHeight="1" s="380">
      <c r="A36" s="684" t="inlineStr">
        <is>
          <t>In-Model Quarterly Payments</t>
        </is>
      </c>
    </row>
    <row r="37" ht="15" customFormat="1" customHeight="1" s="380">
      <c r="A37" s="685" t="inlineStr">
        <is>
          <t>Francis</t>
        </is>
      </c>
      <c r="B37" s="468">
        <f>SUMPRODUCT((Model!E164:CG164&gt;0)*1)</f>
        <v/>
      </c>
    </row>
    <row r="38" ht="15" customFormat="1" customHeight="1" s="380">
      <c r="A38" s="685" t="inlineStr">
        <is>
          <t>3rd St</t>
        </is>
      </c>
      <c r="B38" s="468">
        <f>SUMPRODUCT((Model!E166:CG166&gt;0)*1)</f>
        <v/>
      </c>
    </row>
    <row r="39" ht="15" customFormat="1" customHeight="1" s="380">
      <c r="A39" s="685" t="inlineStr">
        <is>
          <t>Reseda</t>
        </is>
      </c>
      <c r="B39" s="468">
        <f>SUMPRODUCT((Model!E165:CG165&gt;0)*1)</f>
        <v/>
      </c>
    </row>
    <row r="41" ht="15" customFormat="1" customHeight="1" s="380">
      <c r="A41" s="684" t="inlineStr">
        <is>
          <t>Remaining Quarters (Post-Model)</t>
        </is>
      </c>
    </row>
    <row r="42" ht="15" customFormat="1" customHeight="1" s="380">
      <c r="A42" s="685" t="inlineStr">
        <is>
          <t>Francis</t>
        </is>
      </c>
      <c r="B42" s="468">
        <f>40-B37</f>
        <v/>
      </c>
    </row>
    <row r="43" ht="15" customFormat="1" customHeight="1" s="380">
      <c r="A43" s="685" t="inlineStr">
        <is>
          <t>3rd St</t>
        </is>
      </c>
      <c r="B43" s="468">
        <f>40-B38</f>
        <v/>
      </c>
    </row>
    <row r="44" ht="15" customFormat="1" customHeight="1" s="380">
      <c r="A44" s="685" t="inlineStr">
        <is>
          <t>Reseda</t>
        </is>
      </c>
      <c r="B44" s="468">
        <f>40-B39</f>
        <v/>
      </c>
    </row>
    <row r="46" ht="15" customFormat="1" customHeight="1" s="380">
      <c r="A46" s="684" t="inlineStr">
        <is>
          <t>Post-Model Total LIHTC Revenue</t>
        </is>
      </c>
    </row>
    <row r="47" ht="15" customFormat="1" customHeight="1" s="380">
      <c r="A47" s="685" t="inlineStr">
        <is>
          <t>Francis</t>
        </is>
      </c>
      <c r="B47" s="595">
        <f>B32*B42</f>
        <v/>
      </c>
    </row>
    <row r="48" ht="15" customFormat="1" customHeight="1" s="380">
      <c r="A48" s="685" t="inlineStr">
        <is>
          <t>3rd St</t>
        </is>
      </c>
      <c r="B48" s="595">
        <f>B33*B43</f>
        <v/>
      </c>
    </row>
    <row r="49" ht="15" customFormat="1" customHeight="1" s="380">
      <c r="A49" s="685" t="inlineStr">
        <is>
          <t>Reseda</t>
        </is>
      </c>
      <c r="B49" s="595">
        <f>B34*B44</f>
        <v/>
      </c>
    </row>
    <row r="51" ht="15" customFormat="1" customHeight="1" s="380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Format="1" customHeight="1" s="380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Format="1" customHeight="1" s="380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Format="1" customHeight="1" s="380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Format="1" customHeight="1" s="380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Format="1" customHeight="1" s="380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Format="1" customHeight="1" s="380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Format="1" customHeight="1" s="380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Format="1" customHeight="1" s="380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Format="1" customHeight="1" s="380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Format="1" customHeight="1" s="380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Format="1" customHeight="1" s="380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Format="1" customHeight="1" s="380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Format="1" customHeight="1" s="380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Format="1" customHeight="1" s="380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Format="1" customHeight="1" s="380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Format="1" customHeight="1" s="380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Format="1" customHeight="1" s="380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Format="1" customHeight="1" s="380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Format="1" customHeight="1" s="380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Format="1" customHeight="1" s="380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Format="1" customHeight="1" s="380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Format="1" customHeight="1" s="380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Format="1" customHeight="1" s="380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Format="1" customHeight="1" s="380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Format="1" customHeight="1" s="380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Format="1" customHeight="1" s="380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Format="1" customHeight="1" s="380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Format="1" customHeight="1" s="380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Format="1" customHeight="1" s="380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Format="1" customHeight="1" s="380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Format="1" customHeight="1" s="380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Format="1" customHeight="1" s="380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Format="1" customHeight="1" s="380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Format="1" customHeight="1" s="380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Format="1" customHeight="1" s="380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Format="1" customHeight="1" s="380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Format="1" customHeight="1" s="380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Format="1" customHeight="1" s="380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Format="1" customHeight="1" s="380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Format="1" customHeight="1" s="380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Format="1" customHeight="1" s="380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Format="1" customHeight="1" s="380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410">
      <c r="A94" s="380" t="inlineStr">
        <is>
          <t>Rows 96-101: col C = month -2 (= Model col B). Check which block you are in before editing.</t>
        </is>
      </c>
    </row>
    <row r="95" ht="15" customFormat="1" customHeight="1" s="380">
      <c r="A95" s="380" t="inlineStr">
        <is>
          <t>BD MEMO ROWS  (moved from Model rows 203-207, 214)</t>
        </is>
      </c>
    </row>
    <row r="96" ht="15" customFormat="1" customHeight="1" s="380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Format="1" customHeight="1" s="380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Format="1" customHeight="1" s="380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Format="1" customHeight="1" s="380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Format="1" customHeight="1" s="380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Format="1" customHeight="1" s="380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Format="1" customHeight="1" s="380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Format="1" customHeight="1" s="380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Format="1" customHeight="1" s="380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Format="1" customHeight="1" s="380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Format="1" customHeight="1" s="380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Format="1" customHeight="1" s="380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Format="1" customHeight="1" s="380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Format="1" customHeight="1" s="380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Format="1" customHeight="1" s="380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Format="1" customHeight="1" s="380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Format="1" customHeight="1" s="380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Format="1" customHeight="1" s="380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Format="1" customHeight="1" s="380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Format="1" customHeight="1" s="380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Format="1" customHeight="1" s="380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Format="1" customHeight="1" s="380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Format="1" customHeight="1" s="380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Format="1" customHeight="1" s="380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Format="1" customHeight="1" s="380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Format="1" customHeight="1" s="380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Format="1" customHeight="1" s="380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Format="1" customHeight="1" s="380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Format="1" customHeight="1" s="380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Format="1" customHeight="1" s="380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Format="1" customHeight="1" s="380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Format="1" customHeight="1" s="380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Format="1" customHeight="1" s="380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Format="1" customHeight="1" s="380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Format="1" customHeight="1" s="380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Format="1" customHeight="1" s="380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Format="1" customHeight="1" s="380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Format="1" customHeight="1" s="380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Format="1" customHeight="1" s="380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Format="1" customHeight="1" s="380">
      <c r="A34" s="721" t="n"/>
      <c r="B34" s="722" t="n"/>
      <c r="C34" s="722" t="n"/>
      <c r="D34" s="722" t="n"/>
    </row>
    <row r="35" ht="15" customFormat="1" customHeight="1" s="380">
      <c r="A35" s="699" t="n"/>
      <c r="B35" s="700" t="n"/>
      <c r="C35" s="700" t="n"/>
      <c r="D35" s="700" t="n"/>
    </row>
    <row r="37" ht="15" customFormat="1" customHeight="1" s="380">
      <c r="A37" s="723" t="n"/>
    </row>
    <row r="38" ht="15" customFormat="1" customHeight="1" s="380">
      <c r="A38" s="724" t="n"/>
    </row>
    <row r="39" ht="15" customFormat="1" customHeight="1" s="380">
      <c r="A39" s="724" t="n"/>
    </row>
    <row r="40" ht="15" customFormat="1" customHeight="1" s="380">
      <c r="A40" s="724" t="inlineStr">
        <is>
          <t>Interest Carry = Steyn balance accrual (GMP + Liquidity unpaid balance interest)</t>
        </is>
      </c>
    </row>
    <row r="41" ht="15" customFormat="1" customHeight="1" s="380">
      <c r="A41" s="724" t="inlineStr">
        <is>
          <t>PIK Interest = 15% annual (3.75% quarterly) on Project Investment Capital</t>
        </is>
      </c>
    </row>
    <row r="42" ht="15" customFormat="1" customHeight="1" s="380">
      <c r="A42" s="724" t="inlineStr">
        <is>
          <t>3rd St: 36 remaining quarterly LIHTC payments at $73,155; PIK balance of $570K fully repaid post-model</t>
        </is>
      </c>
    </row>
    <row r="43" ht="15" customFormat="1" customHeight="1" s="380">
      <c r="A43" s="724" t="inlineStr">
        <is>
          <t>Reseda: 28 remaining quarterly LIHTC payments at $81,362; PIK and Steyn fully repaid in-model</t>
        </is>
      </c>
    </row>
    <row r="44" ht="15" customFormat="1" customHeight="1" s="380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Format="1" customHeight="1" s="380">
      <c r="A1" s="473" t="inlineStr">
        <is>
          <t>BD COMMISSION — PER-DEAL ENGINE</t>
        </is>
      </c>
    </row>
    <row r="2" ht="15" customFormat="1" customHeight="1" s="380">
      <c r="A2" s="468" t="inlineStr">
        <is>
          <t>Advance rate (x GMP)</t>
        </is>
      </c>
      <c r="B2" s="725" t="n">
        <v>0.0025</v>
      </c>
    </row>
    <row r="3" ht="15" customFormat="1" customHeight="1" s="380">
      <c r="A3" s="468" t="inlineStr">
        <is>
          <t>Profit commission rate</t>
        </is>
      </c>
      <c r="B3" s="726" t="n">
        <v>0.1</v>
      </c>
    </row>
    <row r="4" ht="15" customFormat="1" customHeight="1" s="380"/>
    <row r="5" ht="30" customFormat="1" customHeight="1" s="380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Format="1" customHeight="1" s="380">
      <c r="A6" s="385" t="n">
        <v>2026</v>
      </c>
      <c r="B6" s="385" t="n">
        <v>-2</v>
      </c>
      <c r="C6" s="385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Format="1" customHeight="1" s="380">
      <c r="A7" s="385" t="n">
        <v>2027</v>
      </c>
      <c r="B7" s="385" t="n">
        <v>10</v>
      </c>
      <c r="C7" s="385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Format="1" customHeight="1" s="380">
      <c r="A8" s="385" t="n">
        <v>2028</v>
      </c>
      <c r="B8" s="385" t="n">
        <v>22</v>
      </c>
      <c r="C8" s="385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Format="1" customHeight="1" s="380">
      <c r="A9" s="385" t="n">
        <v>2029</v>
      </c>
      <c r="B9" s="385" t="n">
        <v>34</v>
      </c>
      <c r="C9" s="385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Format="1" customHeight="1" s="380">
      <c r="A10" s="385" t="n">
        <v>2030</v>
      </c>
      <c r="B10" s="385" t="n">
        <v>46</v>
      </c>
      <c r="C10" s="385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Format="1" customHeight="1" s="380">
      <c r="A11" s="385" t="n">
        <v>2031</v>
      </c>
      <c r="B11" s="385" t="n">
        <v>58</v>
      </c>
      <c r="C11" s="385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Format="1" customHeight="1" s="380">
      <c r="A12" s="385" t="n">
        <v>2032</v>
      </c>
      <c r="B12" s="385" t="n">
        <v>70</v>
      </c>
      <c r="C12" s="385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Format="1" customHeight="1" s="380">
      <c r="A13" s="385" t="n">
        <v>2033</v>
      </c>
      <c r="B13" s="385" t="n">
        <v>82</v>
      </c>
      <c r="C13" s="385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Format="1" customHeight="1" s="380">
      <c r="A14" s="385" t="n">
        <v>2034</v>
      </c>
      <c r="B14" s="385" t="n">
        <v>94</v>
      </c>
      <c r="C14" s="385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Format="1" customHeight="1" s="380">
      <c r="A15" s="605" t="inlineStr">
        <is>
          <t>Month #</t>
        </is>
      </c>
      <c r="C15" s="385">
        <f>Model!B3</f>
        <v/>
      </c>
      <c r="D15" s="385">
        <f>Model!C3</f>
        <v/>
      </c>
      <c r="E15" s="385">
        <f>Model!D3</f>
        <v/>
      </c>
      <c r="F15" s="385">
        <f>Model!E3</f>
        <v/>
      </c>
      <c r="G15" s="385">
        <f>Model!F3</f>
        <v/>
      </c>
      <c r="H15" s="385">
        <f>Model!G3</f>
        <v/>
      </c>
      <c r="I15" s="385">
        <f>Model!H3</f>
        <v/>
      </c>
      <c r="J15" s="385">
        <f>Model!I3</f>
        <v/>
      </c>
      <c r="K15" s="385">
        <f>Model!J3</f>
        <v/>
      </c>
      <c r="L15" s="385">
        <f>Model!K3</f>
        <v/>
      </c>
      <c r="M15" s="385">
        <f>Model!L3</f>
        <v/>
      </c>
      <c r="N15" s="385">
        <f>Model!M3</f>
        <v/>
      </c>
      <c r="O15" s="385">
        <f>Model!N3</f>
        <v/>
      </c>
      <c r="P15" s="385">
        <f>Model!O3</f>
        <v/>
      </c>
      <c r="Q15" s="385">
        <f>Model!P3</f>
        <v/>
      </c>
      <c r="R15" s="385">
        <f>Model!Q3</f>
        <v/>
      </c>
      <c r="S15" s="385">
        <f>Model!R3</f>
        <v/>
      </c>
      <c r="T15" s="385">
        <f>Model!S3</f>
        <v/>
      </c>
      <c r="U15" s="385">
        <f>Model!T3</f>
        <v/>
      </c>
      <c r="V15" s="385">
        <f>Model!U3</f>
        <v/>
      </c>
      <c r="W15" s="385">
        <f>Model!V3</f>
        <v/>
      </c>
      <c r="X15" s="385">
        <f>Model!W3</f>
        <v/>
      </c>
      <c r="Y15" s="385">
        <f>Model!X3</f>
        <v/>
      </c>
      <c r="Z15" s="385">
        <f>Model!Y3</f>
        <v/>
      </c>
      <c r="AA15" s="385">
        <f>Model!Z3</f>
        <v/>
      </c>
      <c r="AB15" s="385">
        <f>Model!AA3</f>
        <v/>
      </c>
      <c r="AC15" s="385">
        <f>Model!AB3</f>
        <v/>
      </c>
      <c r="AD15" s="385">
        <f>Model!AC3</f>
        <v/>
      </c>
      <c r="AE15" s="385">
        <f>Model!AD3</f>
        <v/>
      </c>
      <c r="AF15" s="385">
        <f>Model!AE3</f>
        <v/>
      </c>
      <c r="AG15" s="385">
        <f>Model!AF3</f>
        <v/>
      </c>
      <c r="AH15" s="385">
        <f>Model!AG3</f>
        <v/>
      </c>
      <c r="AI15" s="385">
        <f>Model!AH3</f>
        <v/>
      </c>
      <c r="AJ15" s="385">
        <f>Model!AI3</f>
        <v/>
      </c>
      <c r="AK15" s="385">
        <f>Model!AJ3</f>
        <v/>
      </c>
      <c r="AL15" s="385">
        <f>Model!AK3</f>
        <v/>
      </c>
      <c r="AM15" s="385">
        <f>Model!AL3</f>
        <v/>
      </c>
      <c r="AN15" s="385">
        <f>Model!AM3</f>
        <v/>
      </c>
      <c r="AO15" s="385">
        <f>Model!AN3</f>
        <v/>
      </c>
      <c r="AP15" s="385">
        <f>Model!AO3</f>
        <v/>
      </c>
      <c r="AQ15" s="385">
        <f>Model!AP3</f>
        <v/>
      </c>
      <c r="AR15" s="385">
        <f>Model!AQ3</f>
        <v/>
      </c>
      <c r="AS15" s="385">
        <f>Model!AR3</f>
        <v/>
      </c>
      <c r="AT15" s="385">
        <f>Model!AS3</f>
        <v/>
      </c>
      <c r="AU15" s="385">
        <f>Model!AT3</f>
        <v/>
      </c>
      <c r="AV15" s="385">
        <f>Model!AU3</f>
        <v/>
      </c>
      <c r="AW15" s="385">
        <f>Model!AV3</f>
        <v/>
      </c>
      <c r="AX15" s="385">
        <f>Model!AW3</f>
        <v/>
      </c>
      <c r="AY15" s="385">
        <f>Model!AX3</f>
        <v/>
      </c>
      <c r="AZ15" s="385">
        <f>Model!AY3</f>
        <v/>
      </c>
      <c r="BA15" s="385">
        <f>Model!AZ3</f>
        <v/>
      </c>
      <c r="BB15" s="385">
        <f>Model!BA3</f>
        <v/>
      </c>
      <c r="BC15" s="385">
        <f>Model!BB3</f>
        <v/>
      </c>
      <c r="BD15" s="385">
        <f>Model!BC3</f>
        <v/>
      </c>
      <c r="BE15" s="385">
        <f>Model!BD3</f>
        <v/>
      </c>
      <c r="BF15" s="385">
        <f>Model!BE3</f>
        <v/>
      </c>
      <c r="BG15" s="385">
        <f>Model!BF3</f>
        <v/>
      </c>
      <c r="BH15" s="385">
        <f>Model!BG3</f>
        <v/>
      </c>
      <c r="BI15" s="385">
        <f>Model!BH3</f>
        <v/>
      </c>
      <c r="BJ15" s="385">
        <f>Model!BI3</f>
        <v/>
      </c>
      <c r="BK15" s="385">
        <f>Model!BJ3</f>
        <v/>
      </c>
      <c r="BL15" s="385">
        <f>Model!BK3</f>
        <v/>
      </c>
      <c r="BM15" s="385">
        <f>Model!BL3</f>
        <v/>
      </c>
      <c r="BN15" s="385">
        <f>Model!BM3</f>
        <v/>
      </c>
      <c r="BO15" s="385">
        <f>Model!BN3</f>
        <v/>
      </c>
      <c r="BP15" s="385">
        <f>Model!BO3</f>
        <v/>
      </c>
      <c r="BQ15" s="385">
        <f>Model!BP3</f>
        <v/>
      </c>
      <c r="BR15" s="385">
        <f>Model!BQ3</f>
        <v/>
      </c>
      <c r="BS15" s="385">
        <f>Model!BR3</f>
        <v/>
      </c>
      <c r="BT15" s="385">
        <f>Model!BS3</f>
        <v/>
      </c>
      <c r="BU15" s="385">
        <f>Model!BT3</f>
        <v/>
      </c>
      <c r="BV15" s="385">
        <f>Model!BU3</f>
        <v/>
      </c>
      <c r="BW15" s="385">
        <f>Model!BV3</f>
        <v/>
      </c>
      <c r="BX15" s="385">
        <f>Model!BW3</f>
        <v/>
      </c>
      <c r="BY15" s="385">
        <f>Model!BX3</f>
        <v/>
      </c>
      <c r="BZ15" s="385">
        <f>Model!BY3</f>
        <v/>
      </c>
      <c r="CA15" s="385">
        <f>Model!BZ3</f>
        <v/>
      </c>
      <c r="CB15" s="385">
        <f>Model!CA3</f>
        <v/>
      </c>
      <c r="CC15" s="385">
        <f>Model!CB3</f>
        <v/>
      </c>
      <c r="CD15" s="385">
        <f>Model!CC3</f>
        <v/>
      </c>
      <c r="CE15" s="385">
        <f>Model!CD3</f>
        <v/>
      </c>
      <c r="CF15" s="385">
        <f>Model!CE3</f>
        <v/>
      </c>
      <c r="CG15" s="385">
        <f>Model!CF3</f>
        <v/>
      </c>
      <c r="CH15" s="385">
        <f>Model!CG3</f>
        <v/>
      </c>
      <c r="CI15" s="385">
        <f>Model!CH3</f>
        <v/>
      </c>
      <c r="CJ15" s="385">
        <f>Model!CI3</f>
        <v/>
      </c>
      <c r="CK15" s="385">
        <f>Model!CJ3</f>
        <v/>
      </c>
      <c r="CL15" s="385">
        <f>Model!CK3</f>
        <v/>
      </c>
      <c r="CM15" s="385">
        <f>Model!CL3</f>
        <v/>
      </c>
      <c r="CN15" s="385">
        <f>Model!CM3</f>
        <v/>
      </c>
      <c r="CO15" s="385">
        <f>Model!CN3</f>
        <v/>
      </c>
      <c r="CP15" s="385">
        <f>Model!CO3</f>
        <v/>
      </c>
      <c r="CQ15" s="385">
        <f>Model!CP3</f>
        <v/>
      </c>
      <c r="CR15" s="385">
        <f>Model!CQ3</f>
        <v/>
      </c>
      <c r="CS15" s="385">
        <f>Model!CR3</f>
        <v/>
      </c>
      <c r="CT15" s="385">
        <f>Model!CS3</f>
        <v/>
      </c>
      <c r="CU15" s="385">
        <f>Model!CT3</f>
        <v/>
      </c>
      <c r="CV15" s="385">
        <f>Model!CU3</f>
        <v/>
      </c>
      <c r="CW15" s="385">
        <f>Model!CV3</f>
        <v/>
      </c>
      <c r="CX15" s="385">
        <f>Model!CW3</f>
        <v/>
      </c>
      <c r="CY15" s="385">
        <f>Model!CX3</f>
        <v/>
      </c>
      <c r="CZ15" s="385">
        <f>Model!CY3</f>
        <v/>
      </c>
      <c r="DA15" s="385">
        <f>Model!CZ3</f>
        <v/>
      </c>
      <c r="DB15" s="385">
        <f>Model!DA3</f>
        <v/>
      </c>
      <c r="DC15" s="385">
        <f>Model!DB3</f>
        <v/>
      </c>
      <c r="DD15" s="385">
        <f>Model!DC3</f>
        <v/>
      </c>
      <c r="DE15" s="385">
        <f>Model!DD3</f>
        <v/>
      </c>
      <c r="DF15" s="385">
        <f>Model!DE3</f>
        <v/>
      </c>
    </row>
    <row r="16" ht="15" customFormat="1" customHeight="1" s="380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Format="1" customHeight="1" s="380">
      <c r="A17" s="605" t="inlineStr">
        <is>
          <t># under construction</t>
        </is>
      </c>
      <c r="C17" s="385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5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5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5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5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5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5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5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5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5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5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5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5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5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5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5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5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5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5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5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5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5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5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5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5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5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5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5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5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5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5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5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5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5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5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5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5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5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5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5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5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5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5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5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5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5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5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5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5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5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5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5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5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5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5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5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5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5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5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5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5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5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5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5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5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5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5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5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5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5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5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5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5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5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5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5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5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5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5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5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5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5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5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5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5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5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5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5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5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5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5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5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5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5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5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5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5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5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5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5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5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5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5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5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5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5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5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5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Format="1" customHeight="1" s="380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Format="1" customHeight="1" s="380"/>
    <row r="20" ht="30" customFormat="1" customHeight="1" s="380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Format="1" customHeight="1" s="380">
      <c r="A21" s="380">
        <f>Projects!A17</f>
        <v/>
      </c>
      <c r="B21" s="483">
        <f>Projects!B17</f>
        <v/>
      </c>
      <c r="C21" s="385">
        <f>Projects!C17</f>
        <v/>
      </c>
      <c r="D21" s="385">
        <f>Projects!D17</f>
        <v/>
      </c>
      <c r="E21" s="380">
        <f>Projects!G17</f>
        <v/>
      </c>
      <c r="F21" s="380">
        <f>Projects!M17</f>
        <v/>
      </c>
      <c r="G21" s="385">
        <f>C21+D21-1</f>
        <v/>
      </c>
      <c r="H21" s="385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Format="1" customHeight="1" s="380">
      <c r="A22" s="380">
        <f>Projects!A18</f>
        <v/>
      </c>
      <c r="B22" s="483">
        <f>Projects!B18</f>
        <v/>
      </c>
      <c r="C22" s="385">
        <f>Projects!C18</f>
        <v/>
      </c>
      <c r="D22" s="385">
        <f>Projects!D18</f>
        <v/>
      </c>
      <c r="E22" s="380">
        <f>Projects!G18</f>
        <v/>
      </c>
      <c r="F22" s="380">
        <f>Projects!M18</f>
        <v/>
      </c>
      <c r="G22" s="385">
        <f>C22+D22-1</f>
        <v/>
      </c>
      <c r="H22" s="385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Format="1" customHeight="1" s="380">
      <c r="A23" s="380">
        <f>Projects!A19</f>
        <v/>
      </c>
      <c r="B23" s="483">
        <f>Projects!B19</f>
        <v/>
      </c>
      <c r="C23" s="385">
        <f>Projects!C19</f>
        <v/>
      </c>
      <c r="D23" s="385">
        <f>Projects!D19</f>
        <v/>
      </c>
      <c r="E23" s="380">
        <f>Projects!G19</f>
        <v/>
      </c>
      <c r="F23" s="380">
        <f>Projects!M19</f>
        <v/>
      </c>
      <c r="G23" s="385">
        <f>C23+D23-1</f>
        <v/>
      </c>
      <c r="H23" s="385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Format="1" customHeight="1" s="380">
      <c r="A24" s="380">
        <f>Projects!A20</f>
        <v/>
      </c>
      <c r="B24" s="483">
        <f>Projects!B20</f>
        <v/>
      </c>
      <c r="C24" s="385">
        <f>Projects!C20</f>
        <v/>
      </c>
      <c r="D24" s="385">
        <f>Projects!D20</f>
        <v/>
      </c>
      <c r="E24" s="380">
        <f>Projects!G20</f>
        <v/>
      </c>
      <c r="F24" s="380">
        <f>Projects!M20</f>
        <v/>
      </c>
      <c r="G24" s="385">
        <f>C24+D24-1</f>
        <v/>
      </c>
      <c r="H24" s="385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Format="1" customHeight="1" s="380">
      <c r="A25" s="380">
        <f>Projects!A21</f>
        <v/>
      </c>
      <c r="B25" s="483">
        <f>Projects!B21</f>
        <v/>
      </c>
      <c r="C25" s="385">
        <f>Projects!C21</f>
        <v/>
      </c>
      <c r="D25" s="385">
        <f>Projects!D21</f>
        <v/>
      </c>
      <c r="E25" s="380">
        <f>Projects!G21</f>
        <v/>
      </c>
      <c r="F25" s="380">
        <f>Projects!M21</f>
        <v/>
      </c>
      <c r="G25" s="385">
        <f>C25+D25-1</f>
        <v/>
      </c>
      <c r="H25" s="385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Format="1" customHeight="1" s="380">
      <c r="A26" s="380">
        <f>Projects!A22</f>
        <v/>
      </c>
      <c r="B26" s="483">
        <f>Projects!B22</f>
        <v/>
      </c>
      <c r="C26" s="385">
        <f>Projects!C22</f>
        <v/>
      </c>
      <c r="D26" s="385">
        <f>Projects!D22</f>
        <v/>
      </c>
      <c r="E26" s="380">
        <f>Projects!G22</f>
        <v/>
      </c>
      <c r="F26" s="380">
        <f>Projects!M22</f>
        <v/>
      </c>
      <c r="G26" s="385">
        <f>C26+D26-1</f>
        <v/>
      </c>
      <c r="H26" s="385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Format="1" customHeight="1" s="380">
      <c r="A27" s="380">
        <f>Projects!A23</f>
        <v/>
      </c>
      <c r="B27" s="483">
        <f>Projects!B23</f>
        <v/>
      </c>
      <c r="C27" s="385">
        <f>Projects!C23</f>
        <v/>
      </c>
      <c r="D27" s="385">
        <f>Projects!D23</f>
        <v/>
      </c>
      <c r="E27" s="380">
        <f>Projects!G23</f>
        <v/>
      </c>
      <c r="F27" s="380">
        <f>Projects!M23</f>
        <v/>
      </c>
      <c r="G27" s="385">
        <f>C27+D27-1</f>
        <v/>
      </c>
      <c r="H27" s="385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Format="1" customHeight="1" s="380">
      <c r="A28" s="380">
        <f>Projects!A24</f>
        <v/>
      </c>
      <c r="B28" s="483">
        <f>Projects!B24</f>
        <v/>
      </c>
      <c r="C28" s="385">
        <f>Projects!C24</f>
        <v/>
      </c>
      <c r="D28" s="385">
        <f>Projects!D24</f>
        <v/>
      </c>
      <c r="E28" s="380">
        <f>Projects!G24</f>
        <v/>
      </c>
      <c r="F28" s="380">
        <f>Projects!M24</f>
        <v/>
      </c>
      <c r="G28" s="385">
        <f>C28+D28-1</f>
        <v/>
      </c>
      <c r="H28" s="385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Format="1" customHeight="1" s="380">
      <c r="A29" s="380">
        <f>Projects!A25</f>
        <v/>
      </c>
      <c r="B29" s="483">
        <f>Projects!B25</f>
        <v/>
      </c>
      <c r="C29" s="385">
        <f>Projects!C25</f>
        <v/>
      </c>
      <c r="D29" s="385">
        <f>Projects!D25</f>
        <v/>
      </c>
      <c r="E29" s="380">
        <f>Projects!G25</f>
        <v/>
      </c>
      <c r="F29" s="380">
        <f>Projects!M25</f>
        <v/>
      </c>
      <c r="G29" s="385">
        <f>C29+D29-1</f>
        <v/>
      </c>
      <c r="H29" s="385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Format="1" customHeight="1" s="380">
      <c r="A30" s="380">
        <f>Projects!A26</f>
        <v/>
      </c>
      <c r="B30" s="483">
        <f>Projects!B26</f>
        <v/>
      </c>
      <c r="C30" s="385">
        <f>Projects!C26</f>
        <v/>
      </c>
      <c r="D30" s="385">
        <f>Projects!D26</f>
        <v/>
      </c>
      <c r="E30" s="380">
        <f>Projects!G26</f>
        <v/>
      </c>
      <c r="F30" s="380">
        <f>Projects!M26</f>
        <v/>
      </c>
      <c r="G30" s="385">
        <f>C30+D30-1</f>
        <v/>
      </c>
      <c r="H30" s="385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Format="1" customHeight="1" s="380">
      <c r="A31" s="380">
        <f>Projects!A27</f>
        <v/>
      </c>
      <c r="B31" s="483">
        <f>Projects!B27</f>
        <v/>
      </c>
      <c r="C31" s="385">
        <f>Projects!C27</f>
        <v/>
      </c>
      <c r="D31" s="385">
        <f>Projects!D27</f>
        <v/>
      </c>
      <c r="E31" s="380">
        <f>Projects!G27</f>
        <v/>
      </c>
      <c r="F31" s="380">
        <f>Projects!M27</f>
        <v/>
      </c>
      <c r="G31" s="385">
        <f>C31+D31-1</f>
        <v/>
      </c>
      <c r="H31" s="385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Format="1" customHeight="1" s="380">
      <c r="A32" s="380">
        <f>Projects!A28</f>
        <v/>
      </c>
      <c r="B32" s="483">
        <f>Projects!B28</f>
        <v/>
      </c>
      <c r="C32" s="385">
        <f>Projects!C28</f>
        <v/>
      </c>
      <c r="D32" s="385">
        <f>Projects!D28</f>
        <v/>
      </c>
      <c r="E32" s="380">
        <f>Projects!G28</f>
        <v/>
      </c>
      <c r="F32" s="380">
        <f>Projects!M28</f>
        <v/>
      </c>
      <c r="G32" s="385">
        <f>C32+D32-1</f>
        <v/>
      </c>
      <c r="H32" s="385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Format="1" customHeight="1" s="380">
      <c r="A33" s="380">
        <f>Projects!A29</f>
        <v/>
      </c>
      <c r="B33" s="483">
        <f>Projects!B29</f>
        <v/>
      </c>
      <c r="C33" s="385">
        <f>Projects!C29</f>
        <v/>
      </c>
      <c r="D33" s="385">
        <f>Projects!D29</f>
        <v/>
      </c>
      <c r="E33" s="380">
        <f>Projects!G29</f>
        <v/>
      </c>
      <c r="F33" s="380">
        <f>Projects!M29</f>
        <v/>
      </c>
      <c r="G33" s="385">
        <f>C33+D33-1</f>
        <v/>
      </c>
      <c r="H33" s="385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Format="1" customHeight="1" s="380">
      <c r="A34" s="380">
        <f>Projects!A30</f>
        <v/>
      </c>
      <c r="B34" s="483">
        <f>Projects!B30</f>
        <v/>
      </c>
      <c r="C34" s="385">
        <f>Projects!C30</f>
        <v/>
      </c>
      <c r="D34" s="385">
        <f>Projects!D30</f>
        <v/>
      </c>
      <c r="E34" s="380">
        <f>Projects!G30</f>
        <v/>
      </c>
      <c r="F34" s="380">
        <f>Projects!M30</f>
        <v/>
      </c>
      <c r="G34" s="385">
        <f>C34+D34-1</f>
        <v/>
      </c>
      <c r="H34" s="385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Format="1" customHeight="1" s="380">
      <c r="A35" s="380">
        <f>Projects!A31</f>
        <v/>
      </c>
      <c r="B35" s="483">
        <f>Projects!B31</f>
        <v/>
      </c>
      <c r="C35" s="385">
        <f>Projects!C31</f>
        <v/>
      </c>
      <c r="D35" s="385">
        <f>Projects!D31</f>
        <v/>
      </c>
      <c r="E35" s="380">
        <f>Projects!G31</f>
        <v/>
      </c>
      <c r="F35" s="380">
        <f>Projects!M31</f>
        <v/>
      </c>
      <c r="G35" s="385">
        <f>C35+D35-1</f>
        <v/>
      </c>
      <c r="H35" s="385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Format="1" customHeight="1" s="380">
      <c r="A36" s="380">
        <f>Projects!A32</f>
        <v/>
      </c>
      <c r="B36" s="483">
        <f>Projects!B32</f>
        <v/>
      </c>
      <c r="C36" s="385">
        <f>Projects!C32</f>
        <v/>
      </c>
      <c r="D36" s="385">
        <f>Projects!D32</f>
        <v/>
      </c>
      <c r="E36" s="380">
        <f>Projects!G32</f>
        <v/>
      </c>
      <c r="F36" s="380">
        <f>Projects!M32</f>
        <v/>
      </c>
      <c r="G36" s="385">
        <f>C36+D36-1</f>
        <v/>
      </c>
      <c r="H36" s="385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Format="1" customHeight="1" s="380">
      <c r="A37" s="380">
        <f>Projects!A33</f>
        <v/>
      </c>
      <c r="B37" s="483">
        <f>Projects!B33</f>
        <v/>
      </c>
      <c r="C37" s="385">
        <f>Projects!C33</f>
        <v/>
      </c>
      <c r="D37" s="385">
        <f>Projects!D33</f>
        <v/>
      </c>
      <c r="E37" s="380">
        <f>Projects!G33</f>
        <v/>
      </c>
      <c r="F37" s="380">
        <f>Projects!M33</f>
        <v/>
      </c>
      <c r="G37" s="385">
        <f>C37+D37-1</f>
        <v/>
      </c>
      <c r="H37" s="385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Format="1" customHeight="1" s="380">
      <c r="A38" s="380">
        <f>Projects!A34</f>
        <v/>
      </c>
      <c r="B38" s="483">
        <f>Projects!B34</f>
        <v/>
      </c>
      <c r="C38" s="385">
        <f>Projects!C34</f>
        <v/>
      </c>
      <c r="D38" s="385">
        <f>Projects!D34</f>
        <v/>
      </c>
      <c r="E38" s="380">
        <f>Projects!G34</f>
        <v/>
      </c>
      <c r="F38" s="380">
        <f>Projects!M34</f>
        <v/>
      </c>
      <c r="G38" s="385">
        <f>C38+D38-1</f>
        <v/>
      </c>
      <c r="H38" s="385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Format="1" customHeight="1" s="380">
      <c r="A39" s="380">
        <f>Projects!A35</f>
        <v/>
      </c>
      <c r="B39" s="483">
        <f>Projects!B35</f>
        <v/>
      </c>
      <c r="C39" s="385">
        <f>Projects!C35</f>
        <v/>
      </c>
      <c r="D39" s="385">
        <f>Projects!D35</f>
        <v/>
      </c>
      <c r="E39" s="380">
        <f>Projects!G35</f>
        <v/>
      </c>
      <c r="F39" s="380">
        <f>Projects!M35</f>
        <v/>
      </c>
      <c r="G39" s="385">
        <f>C39+D39-1</f>
        <v/>
      </c>
      <c r="H39" s="385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Format="1" customHeight="1" s="380">
      <c r="A40" s="380">
        <f>Projects!A36</f>
        <v/>
      </c>
      <c r="B40" s="483">
        <f>Projects!B36</f>
        <v/>
      </c>
      <c r="C40" s="385">
        <f>Projects!C36</f>
        <v/>
      </c>
      <c r="D40" s="385">
        <f>Projects!D36</f>
        <v/>
      </c>
      <c r="E40" s="380">
        <f>Projects!G36</f>
        <v/>
      </c>
      <c r="F40" s="380">
        <f>Projects!M36</f>
        <v/>
      </c>
      <c r="G40" s="385">
        <f>C40+D40-1</f>
        <v/>
      </c>
      <c r="H40" s="385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Format="1" customHeight="1" s="380">
      <c r="A41" s="380">
        <f>Projects!A37</f>
        <v/>
      </c>
      <c r="B41" s="483">
        <f>Projects!B37</f>
        <v/>
      </c>
      <c r="C41" s="385">
        <f>Projects!C37</f>
        <v/>
      </c>
      <c r="D41" s="385">
        <f>Projects!D37</f>
        <v/>
      </c>
      <c r="E41" s="380">
        <f>Projects!G37</f>
        <v/>
      </c>
      <c r="F41" s="380">
        <f>Projects!M37</f>
        <v/>
      </c>
      <c r="G41" s="385">
        <f>C41+D41-1</f>
        <v/>
      </c>
      <c r="H41" s="385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Format="1" customHeight="1" s="380">
      <c r="A42" s="380">
        <f>Projects!A38</f>
        <v/>
      </c>
      <c r="B42" s="483">
        <f>Projects!B38</f>
        <v/>
      </c>
      <c r="C42" s="385">
        <f>Projects!C38</f>
        <v/>
      </c>
      <c r="D42" s="385">
        <f>Projects!D38</f>
        <v/>
      </c>
      <c r="E42" s="380">
        <f>Projects!G38</f>
        <v/>
      </c>
      <c r="F42" s="380">
        <f>Projects!M38</f>
        <v/>
      </c>
      <c r="G42" s="385">
        <f>C42+D42-1</f>
        <v/>
      </c>
      <c r="H42" s="385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Format="1" customHeight="1" s="380">
      <c r="A43" s="380">
        <f>Projects!A39</f>
        <v/>
      </c>
      <c r="B43" s="483">
        <f>Projects!B39</f>
        <v/>
      </c>
      <c r="C43" s="385">
        <f>Projects!C39</f>
        <v/>
      </c>
      <c r="D43" s="385">
        <f>Projects!D39</f>
        <v/>
      </c>
      <c r="E43" s="380">
        <f>Projects!G39</f>
        <v/>
      </c>
      <c r="F43" s="380">
        <f>Projects!M39</f>
        <v/>
      </c>
      <c r="G43" s="385">
        <f>C43+D43-1</f>
        <v/>
      </c>
      <c r="H43" s="385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Format="1" customHeight="1" s="380">
      <c r="A44" s="380">
        <f>Projects!A40</f>
        <v/>
      </c>
      <c r="B44" s="483">
        <f>Projects!B40</f>
        <v/>
      </c>
      <c r="C44" s="385">
        <f>Projects!C40</f>
        <v/>
      </c>
      <c r="D44" s="385">
        <f>Projects!D40</f>
        <v/>
      </c>
      <c r="E44" s="380">
        <f>Projects!G40</f>
        <v/>
      </c>
      <c r="F44" s="380">
        <f>Projects!M40</f>
        <v/>
      </c>
      <c r="G44" s="385">
        <f>C44+D44-1</f>
        <v/>
      </c>
      <c r="H44" s="385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Format="1" customHeight="1" s="380">
      <c r="A45" s="380">
        <f>Projects!A41</f>
        <v/>
      </c>
      <c r="B45" s="483">
        <f>Projects!B41</f>
        <v/>
      </c>
      <c r="C45" s="385">
        <f>Projects!C41</f>
        <v/>
      </c>
      <c r="D45" s="385">
        <f>Projects!D41</f>
        <v/>
      </c>
      <c r="E45" s="380">
        <f>Projects!G41</f>
        <v/>
      </c>
      <c r="F45" s="380">
        <f>Projects!M41</f>
        <v/>
      </c>
      <c r="G45" s="385">
        <f>C45+D45-1</f>
        <v/>
      </c>
      <c r="H45" s="385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Format="1" customHeight="1" s="380">
      <c r="A46" s="380">
        <f>Projects!A42</f>
        <v/>
      </c>
      <c r="B46" s="483">
        <f>Projects!B42</f>
        <v/>
      </c>
      <c r="C46" s="385">
        <f>Projects!C42</f>
        <v/>
      </c>
      <c r="D46" s="385">
        <f>Projects!D42</f>
        <v/>
      </c>
      <c r="E46" s="380">
        <f>Projects!G42</f>
        <v/>
      </c>
      <c r="F46" s="380">
        <f>Projects!M42</f>
        <v/>
      </c>
      <c r="G46" s="385">
        <f>C46+D46-1</f>
        <v/>
      </c>
      <c r="H46" s="385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Format="1" customHeight="1" s="380">
      <c r="A47" s="380">
        <f>Projects!A43</f>
        <v/>
      </c>
      <c r="B47" s="483">
        <f>Projects!B43</f>
        <v/>
      </c>
      <c r="C47" s="385">
        <f>Projects!C43</f>
        <v/>
      </c>
      <c r="D47" s="385">
        <f>Projects!D43</f>
        <v/>
      </c>
      <c r="E47" s="380">
        <f>Projects!G43</f>
        <v/>
      </c>
      <c r="F47" s="380">
        <f>Projects!M43</f>
        <v/>
      </c>
      <c r="G47" s="385">
        <f>C47+D47-1</f>
        <v/>
      </c>
      <c r="H47" s="385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Format="1" customHeight="1" s="380">
      <c r="A48" s="380">
        <f>Projects!A44</f>
        <v/>
      </c>
      <c r="B48" s="483">
        <f>Projects!B44</f>
        <v/>
      </c>
      <c r="C48" s="385">
        <f>Projects!C44</f>
        <v/>
      </c>
      <c r="D48" s="385">
        <f>Projects!D44</f>
        <v/>
      </c>
      <c r="E48" s="380">
        <f>Projects!G44</f>
        <v/>
      </c>
      <c r="F48" s="380">
        <f>Projects!M44</f>
        <v/>
      </c>
      <c r="G48" s="385">
        <f>C48+D48-1</f>
        <v/>
      </c>
      <c r="H48" s="385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Format="1" customHeight="1" s="380">
      <c r="A49" s="380">
        <f>Projects!A45</f>
        <v/>
      </c>
      <c r="B49" s="483">
        <f>Projects!B45</f>
        <v/>
      </c>
      <c r="C49" s="385">
        <f>Projects!C45</f>
        <v/>
      </c>
      <c r="D49" s="385">
        <f>Projects!D45</f>
        <v/>
      </c>
      <c r="E49" s="380">
        <f>Projects!G45</f>
        <v/>
      </c>
      <c r="F49" s="380">
        <f>Projects!M45</f>
        <v/>
      </c>
      <c r="G49" s="385">
        <f>C49+D49-1</f>
        <v/>
      </c>
      <c r="H49" s="385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Format="1" customHeight="1" s="380">
      <c r="A50" s="380">
        <f>Projects!A46</f>
        <v/>
      </c>
      <c r="B50" s="483">
        <f>Projects!B46</f>
        <v/>
      </c>
      <c r="C50" s="385">
        <f>Projects!C46</f>
        <v/>
      </c>
      <c r="D50" s="385">
        <f>Projects!D46</f>
        <v/>
      </c>
      <c r="E50" s="380">
        <f>Projects!G46</f>
        <v/>
      </c>
      <c r="F50" s="380">
        <f>Projects!M46</f>
        <v/>
      </c>
      <c r="G50" s="385">
        <f>C50+D50-1</f>
        <v/>
      </c>
      <c r="H50" s="385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Format="1" customHeight="1" s="380"/>
    <row r="52" ht="15" customFormat="1" customHeight="1" s="380"/>
    <row r="53" ht="15" customFormat="1" customHeight="1" s="380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G44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O40" activeCellId="0" sqref="O40"/>
    </sheetView>
  </sheetViews>
  <sheetFormatPr baseColWidth="8" defaultColWidth="8.71875" defaultRowHeight="1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4" customWidth="1" style="380" min="5" max="5"/>
    <col width="21.84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Format="1" customHeight="1" s="380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Format="1" customHeight="1" s="380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Format="1" customHeight="1" s="380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Format="1" customHeight="1" s="380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Format="1" customHeight="1" s="380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Format="1" customHeight="1" s="380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Format="1" customHeight="1" s="380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Format="1" customHeight="1" s="380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Format="1" customHeight="1" s="380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Format="1" customHeight="1" s="380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Format="1" customHeight="1" s="380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Format="1" customHeight="1" s="380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Format="1" customHeight="1" s="380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Format="1" customHeight="1" s="380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Format="1" customHeight="1" s="380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Format="1" customHeight="1" s="380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Format="1" customHeight="1" s="380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Format="1" customHeight="1" s="380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Format="1" customHeight="1" s="380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Format="1" customHeight="1" s="380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Format="1" customHeight="1" s="380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Format="1" customHeight="1" s="380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Format="1" customHeight="1" s="380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Format="1" customHeight="1" s="380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Format="1" customHeight="1" s="380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Format="1" customHeight="1" s="380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Format="1" customHeight="1" s="380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Format="1" customHeight="1" s="380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Format="1" customHeight="1" s="380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Format="1" customHeight="1" s="380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Format="1" customHeight="1" s="380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Format="1" customHeight="1" s="380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Format="1" customHeight="1" s="380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Format="1" customHeight="1" s="380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Format="1" customHeight="1" s="380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Format="1" customHeight="1" s="380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Format="1" customHeight="1" s="380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Format="1" customHeight="1" s="380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Format="1" customHeight="1" s="380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Format="1" customHeight="1" s="380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Format="1" customHeight="1" s="380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Format="1" customHeight="1" s="380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Format="1" customHeight="1" s="380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Format="1" customHeight="1" s="380">
      <c r="A1" s="473" t="inlineStr">
        <is>
          <t>Adam Polk Architect LLP: Projection Assumptions</t>
        </is>
      </c>
    </row>
    <row r="2" ht="15" customFormat="1" customHeight="1" s="380">
      <c r="A2" s="452" t="inlineStr">
        <is>
          <t>Blue cells are inputs; black cells are calculated. Month 1 = Jul 2026.</t>
        </is>
      </c>
    </row>
    <row r="4" ht="15" customFormat="1" customHeight="1" s="380">
      <c r="A4" s="402" t="inlineStr">
        <is>
          <t>REVENUE</t>
        </is>
      </c>
      <c r="B4" s="402" t="n"/>
      <c r="C4" s="402" t="n"/>
    </row>
    <row r="5" ht="15" customFormat="1" customHeight="1" s="380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Format="1" customHeight="1" s="380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Format="1" customHeight="1" s="380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Format="1" customHeight="1" s="380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Format="1" customHeight="1" s="380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Format="1" customHeight="1" s="380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Format="1" customHeight="1" s="380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Format="1" customHeight="1" s="380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Format="1" customHeight="1" s="380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Format="1" customHeight="1" s="380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Format="1" customHeight="1" s="380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Format="1" customHeight="1" s="380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Format="1" customHeight="1" s="380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Format="1" customHeight="1" s="380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Format="1" customHeight="1" s="380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Format="1" customHeight="1" s="380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Format="1" customHeight="1" s="380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Format="1" customHeight="1" s="380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Format="1" customHeight="1" s="380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Format="1" customHeight="1" s="380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Format="1" customHeight="1" s="380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Format="1" customHeight="1" s="380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Format="1" customHeight="1" s="380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Format="1" customHeight="1" s="380">
      <c r="A28" s="402" t="inlineStr">
        <is>
          <t>EXPENSES</t>
        </is>
      </c>
      <c r="B28" s="402" t="n"/>
      <c r="C28" s="402" t="n"/>
    </row>
    <row r="29" ht="15" customFormat="1" customHeight="1" s="380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Format="1" customHeight="1" s="380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Format="1" customHeight="1" s="380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Format="1" customHeight="1" s="380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Format="1" customHeight="1" s="380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Format="1" customHeight="1" s="380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Format="1" customHeight="1" s="380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Format="1" customHeight="1" s="380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5" customHeight="1" s="410">
      <c r="A38" s="402" t="inlineStr">
        <is>
          <t>SIX PEAK RECOGNITION</t>
        </is>
      </c>
    </row>
    <row r="39" ht="15" customHeight="1" s="410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5" customHeight="1" s="410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36" customWidth="1" style="380" min="1" max="1"/>
    <col width="12.42" customWidth="1" style="380" min="2" max="40"/>
  </cols>
  <sheetData>
    <row r="1" ht="15.75" customFormat="1" customHeight="1" s="380">
      <c r="A1" s="473" t="inlineStr">
        <is>
          <t>Adam Polk Architect LLP: Cash Flow Projection (Jul 2026 - Aug 2029)</t>
        </is>
      </c>
    </row>
    <row r="3" ht="15" customFormat="1" customHeight="1" s="380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Format="1" customHeight="1" s="380">
      <c r="A4" s="384" t="n"/>
      <c r="B4" s="384" t="n">
        <v>46204</v>
      </c>
      <c r="C4" s="384" t="n">
        <v>46235</v>
      </c>
      <c r="D4" s="384" t="n">
        <v>46266</v>
      </c>
      <c r="E4" s="384" t="n">
        <v>46296</v>
      </c>
      <c r="F4" s="384" t="n">
        <v>46327</v>
      </c>
      <c r="G4" s="384" t="n">
        <v>46357</v>
      </c>
      <c r="H4" s="384" t="n">
        <v>46388</v>
      </c>
      <c r="I4" s="384" t="n">
        <v>46419</v>
      </c>
      <c r="J4" s="384" t="n">
        <v>46447</v>
      </c>
      <c r="K4" s="384" t="n">
        <v>46478</v>
      </c>
      <c r="L4" s="384" t="n">
        <v>46508</v>
      </c>
      <c r="M4" s="384" t="n">
        <v>46539</v>
      </c>
      <c r="N4" s="384" t="n">
        <v>46569</v>
      </c>
      <c r="O4" s="384" t="n">
        <v>46600</v>
      </c>
      <c r="P4" s="384" t="n">
        <v>46631</v>
      </c>
      <c r="Q4" s="384" t="n">
        <v>46661</v>
      </c>
      <c r="R4" s="384" t="n">
        <v>46692</v>
      </c>
      <c r="S4" s="384" t="n">
        <v>46722</v>
      </c>
      <c r="T4" s="384" t="n">
        <v>46753</v>
      </c>
      <c r="U4" s="384" t="n">
        <v>46784</v>
      </c>
      <c r="V4" s="384" t="n">
        <v>46813</v>
      </c>
      <c r="W4" s="384" t="n">
        <v>46844</v>
      </c>
      <c r="X4" s="384" t="n">
        <v>46874</v>
      </c>
      <c r="Y4" s="384" t="n">
        <v>46905</v>
      </c>
      <c r="Z4" s="384" t="n">
        <v>46935</v>
      </c>
      <c r="AA4" s="384" t="n">
        <v>46966</v>
      </c>
      <c r="AB4" s="384" t="n">
        <v>46997</v>
      </c>
      <c r="AC4" s="384" t="n">
        <v>47027</v>
      </c>
      <c r="AD4" s="384" t="n">
        <v>47058</v>
      </c>
      <c r="AE4" s="384" t="n">
        <v>47088</v>
      </c>
      <c r="AF4" s="384" t="n">
        <v>47119</v>
      </c>
      <c r="AG4" s="384" t="n">
        <v>47150</v>
      </c>
      <c r="AH4" s="384" t="n">
        <v>47178</v>
      </c>
      <c r="AI4" s="384" t="n">
        <v>47209</v>
      </c>
      <c r="AJ4" s="384" t="n">
        <v>47239</v>
      </c>
      <c r="AK4" s="384" t="n">
        <v>47270</v>
      </c>
      <c r="AL4" s="384" t="n">
        <v>47300</v>
      </c>
      <c r="AM4" s="384" t="n">
        <v>47331</v>
      </c>
      <c r="AN4" s="384" t="inlineStr">
        <is>
          <t>Total</t>
        </is>
      </c>
    </row>
    <row r="6" ht="15" customFormat="1" customHeight="1" s="380">
      <c r="A6" s="402" t="inlineStr">
        <is>
          <t>REVENUE</t>
        </is>
      </c>
      <c r="B6" s="402" t="n"/>
      <c r="C6" s="402" t="n"/>
      <c r="D6" s="402" t="n"/>
      <c r="E6" s="402" t="n"/>
      <c r="F6" s="402" t="n"/>
      <c r="G6" s="402" t="n"/>
      <c r="H6" s="402" t="n"/>
      <c r="I6" s="402" t="n"/>
      <c r="J6" s="402" t="n"/>
      <c r="K6" s="402" t="n"/>
      <c r="L6" s="402" t="n"/>
      <c r="M6" s="402" t="n"/>
      <c r="N6" s="402" t="n"/>
      <c r="O6" s="402" t="n"/>
      <c r="P6" s="402" t="n"/>
      <c r="Q6" s="402" t="n"/>
      <c r="R6" s="402" t="n"/>
      <c r="S6" s="402" t="n"/>
      <c r="T6" s="402" t="n"/>
      <c r="U6" s="402" t="n"/>
      <c r="V6" s="402" t="n"/>
      <c r="W6" s="402" t="n"/>
      <c r="X6" s="402" t="n"/>
      <c r="Y6" s="402" t="n"/>
      <c r="Z6" s="402" t="n"/>
      <c r="AA6" s="402" t="n"/>
      <c r="AB6" s="402" t="n"/>
      <c r="AC6" s="402" t="n"/>
      <c r="AD6" s="402" t="n"/>
      <c r="AE6" s="402" t="n"/>
      <c r="AF6" s="402" t="n"/>
      <c r="AG6" s="402" t="n"/>
      <c r="AH6" s="402" t="n"/>
      <c r="AI6" s="402" t="n"/>
      <c r="AJ6" s="402" t="n"/>
      <c r="AK6" s="402" t="n"/>
      <c r="AL6" s="402" t="n"/>
      <c r="AM6" s="402" t="n"/>
      <c r="AN6" s="402" t="n"/>
    </row>
    <row r="7" ht="15" customFormat="1" customHeight="1" s="380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Format="1" customHeight="1" s="380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Format="1" customHeight="1" s="380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Format="1" customHeight="1" s="380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Format="1" customHeight="1" s="380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Format="1" customHeight="1" s="380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Format="1" customHeight="1" s="380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Format="1" customHeight="1" s="380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Format="1" customHeight="1" s="380">
      <c r="A16" s="402" t="inlineStr">
        <is>
          <t>EXPENSES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  <c r="AL16" s="402" t="n"/>
      <c r="AM16" s="402" t="n"/>
      <c r="AN16" s="402" t="n"/>
    </row>
    <row r="17" ht="15" customFormat="1" customHeight="1" s="380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Format="1" customHeight="1" s="380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Format="1" customHeight="1" s="380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Format="1" customHeight="1" s="380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Format="1" customHeight="1" s="380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Format="1" customHeight="1" s="380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Format="1" customHeight="1" s="380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Format="1" customHeight="1" s="380">
      <c r="A27" s="402" t="inlineStr">
        <is>
          <t>SUMMARY (38 MONTHS)</t>
        </is>
      </c>
      <c r="B27" s="402" t="n"/>
      <c r="C27" s="402" t="n"/>
    </row>
    <row r="28" ht="15" customFormat="1" customHeight="1" s="380">
      <c r="A28" s="550" t="inlineStr">
        <is>
          <t>Total revenue</t>
        </is>
      </c>
      <c r="B28" s="734">
        <f>AN14</f>
        <v/>
      </c>
    </row>
    <row r="29" ht="15" customFormat="1" customHeight="1" s="380">
      <c r="A29" s="550" t="inlineStr">
        <is>
          <t>Total expenses</t>
        </is>
      </c>
      <c r="B29" s="734">
        <f>AN21</f>
        <v/>
      </c>
    </row>
    <row r="30" ht="15" customFormat="1" customHeight="1" s="380">
      <c r="A30" s="480" t="inlineStr">
        <is>
          <t>Net profit</t>
        </is>
      </c>
      <c r="B30" s="744">
        <f>B28-B29</f>
        <v/>
      </c>
    </row>
    <row r="31" ht="15" customFormat="1" customHeight="1" s="380">
      <c r="A31" s="480" t="inlineStr">
        <is>
          <t>Six Peak share (50%)</t>
        </is>
      </c>
      <c r="B31" s="744">
        <f>B30*0.5</f>
        <v/>
      </c>
    </row>
    <row r="32" ht="15" customFormat="1" customHeight="1" s="380">
      <c r="A32" s="550" t="inlineStr">
        <is>
          <t>APA Inc. share (50%)</t>
        </is>
      </c>
      <c r="B32" s="734">
        <f>B30*0.5</f>
        <v/>
      </c>
    </row>
    <row r="33" ht="15" customFormat="1" customHeight="1" s="380">
      <c r="A33" s="550" t="inlineStr">
        <is>
          <t>APA Inc. total economics (draw + profit share)</t>
        </is>
      </c>
      <c r="B33" s="734">
        <f>AN17+B32</f>
        <v/>
      </c>
    </row>
    <row r="35" ht="15" customFormat="1" customHeight="1" s="380">
      <c r="A35" s="452" t="inlineStr">
        <is>
          <t>AGA separation payments are excluded from this projection and handled outside the company.</t>
        </is>
      </c>
    </row>
    <row r="36" ht="15" customFormat="1" customHeight="1" s="380">
      <c r="A36" s="452" t="inlineStr">
        <is>
          <t>Startup costs (APA Inc. $5,000; Six Peak $2,500) are reimbursed by the company in Aug 2026.</t>
        </is>
      </c>
    </row>
    <row r="37" ht="15" customFormat="1" customHeight="1" s="380">
      <c r="A37" s="452" t="inlineStr">
        <is>
          <t>Expenses fronted by Six Peak or APA Inc. are reimbursable by the company; profits split 50/50 after expenses.</t>
        </is>
      </c>
    </row>
    <row r="38" ht="15" customFormat="1" customHeight="1" s="380">
      <c r="A38" s="452" t="inlineStr">
        <is>
          <t>The APA Inc. draw adjusts to $225,000 per year ($18,750/mo) when the 3rd Street contract is signed (modeled Jan 2027).</t>
        </is>
      </c>
    </row>
    <row r="39" ht="15" customFormat="1" customHeight="1" s="380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410">
      <c r="A1" s="745" t="inlineStr">
        <is>
          <t>DEAL TERMS — drives Model rows 107 and 108. Set every input here, never in Model.</t>
        </is>
      </c>
    </row>
    <row r="2" ht="13.5" customHeight="1" s="410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410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410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410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410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410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410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410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410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410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410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410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410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410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410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410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410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410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410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410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410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410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410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410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410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410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410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410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410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410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410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410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410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410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410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410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410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410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410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410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410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410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410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410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410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410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410" min="1" max="1"/>
    <col width="15" customWidth="1" style="410" min="2" max="2"/>
    <col width="11" customWidth="1" style="410" min="5" max="5"/>
    <col width="11" customWidth="1" style="410" min="6" max="6"/>
    <col width="11" customWidth="1" style="410" min="7" max="7"/>
    <col width="11" customWidth="1" style="410" min="8" max="8"/>
    <col width="11" customWidth="1" style="410" min="9" max="9"/>
    <col width="11" customWidth="1" style="410" min="10" max="10"/>
    <col width="11" customWidth="1" style="410" min="11" max="11"/>
    <col width="11" customWidth="1" style="410" min="12" max="12"/>
    <col width="11" customWidth="1" style="410" min="13" max="13"/>
    <col width="11" customWidth="1" style="410" min="14" max="14"/>
    <col width="11" customWidth="1" style="410" min="15" max="15"/>
    <col width="11" customWidth="1" style="410" min="16" max="16"/>
    <col width="11" customWidth="1" style="410" min="17" max="17"/>
    <col width="11" customWidth="1" style="410" min="18" max="18"/>
    <col width="11" customWidth="1" style="410" min="19" max="19"/>
    <col width="11" customWidth="1" style="410" min="20" max="20"/>
    <col width="11" customWidth="1" style="410" min="21" max="21"/>
    <col width="11" customWidth="1" style="410" min="22" max="22"/>
    <col width="11" customWidth="1" style="410" min="23" max="23"/>
    <col width="11" customWidth="1" style="410" min="24" max="24"/>
    <col width="11" customWidth="1" style="410" min="25" max="25"/>
    <col width="11" customWidth="1" style="410" min="26" max="26"/>
    <col width="11" customWidth="1" style="410" min="27" max="27"/>
    <col width="11" customWidth="1" style="410" min="28" max="28"/>
    <col width="11" customWidth="1" style="410" min="29" max="29"/>
    <col width="11" customWidth="1" style="410" min="30" max="30"/>
    <col width="11" customWidth="1" style="410" min="31" max="31"/>
    <col width="11" customWidth="1" style="410" min="32" max="32"/>
    <col width="11" customWidth="1" style="410" min="33" max="33"/>
    <col width="11" customWidth="1" style="410" min="34" max="34"/>
    <col width="11" customWidth="1" style="410" min="35" max="35"/>
    <col width="11" customWidth="1" style="410" min="36" max="36"/>
    <col width="11" customWidth="1" style="410" min="37" max="37"/>
    <col width="11" customWidth="1" style="410" min="38" max="38"/>
    <col width="11" customWidth="1" style="410" min="39" max="39"/>
    <col width="11" customWidth="1" style="410" min="40" max="40"/>
    <col width="11" customWidth="1" style="410" min="41" max="41"/>
    <col width="11" customWidth="1" style="410" min="42" max="42"/>
    <col width="11" customWidth="1" style="410" min="43" max="43"/>
    <col width="11" customWidth="1" style="410" min="44" max="44"/>
    <col width="11" customWidth="1" style="410" min="45" max="45"/>
    <col width="11" customWidth="1" style="410" min="46" max="46"/>
    <col width="11" customWidth="1" style="410" min="47" max="47"/>
    <col width="11" customWidth="1" style="410" min="48" max="48"/>
    <col width="11" customWidth="1" style="410" min="49" max="49"/>
    <col width="11" customWidth="1" style="410" min="50" max="50"/>
    <col width="11" customWidth="1" style="410" min="51" max="51"/>
    <col width="11" customWidth="1" style="410" min="52" max="52"/>
    <col width="11" customWidth="1" style="410" min="53" max="53"/>
    <col width="11" customWidth="1" style="410" min="54" max="54"/>
    <col width="11" customWidth="1" style="410" min="55" max="55"/>
    <col width="11" customWidth="1" style="410" min="56" max="56"/>
    <col width="11" customWidth="1" style="410" min="57" max="57"/>
    <col width="11" customWidth="1" style="410" min="58" max="58"/>
    <col width="11" customWidth="1" style="410" min="59" max="59"/>
    <col width="11" customWidth="1" style="410" min="60" max="60"/>
    <col width="11" customWidth="1" style="410" min="61" max="61"/>
    <col width="11" customWidth="1" style="410" min="62" max="62"/>
    <col width="11" customWidth="1" style="410" min="63" max="63"/>
    <col width="11" customWidth="1" style="410" min="64" max="64"/>
    <col width="11" customWidth="1" style="410" min="65" max="65"/>
    <col width="11" customWidth="1" style="410" min="66" max="66"/>
    <col width="11" customWidth="1" style="410" min="67" max="67"/>
    <col width="11" customWidth="1" style="410" min="68" max="68"/>
    <col width="11" customWidth="1" style="410" min="69" max="69"/>
    <col width="11" customWidth="1" style="410" min="70" max="70"/>
    <col width="11" customWidth="1" style="410" min="71" max="71"/>
    <col width="11" customWidth="1" style="410" min="72" max="72"/>
    <col width="11" customWidth="1" style="410" min="73" max="73"/>
    <col width="11" customWidth="1" style="410" min="74" max="74"/>
    <col width="11" customWidth="1" style="410" min="75" max="75"/>
    <col width="11" customWidth="1" style="410" min="76" max="76"/>
    <col width="11" customWidth="1" style="410" min="77" max="77"/>
    <col width="11" customWidth="1" style="410" min="78" max="78"/>
    <col width="11" customWidth="1" style="410" min="79" max="79"/>
    <col width="11" customWidth="1" style="410" min="80" max="80"/>
    <col width="11" customWidth="1" style="410" min="81" max="81"/>
    <col width="11" customWidth="1" style="410" min="82" max="82"/>
    <col width="11" customWidth="1" style="410" min="83" max="83"/>
    <col width="11" customWidth="1" style="410" min="84" max="84"/>
    <col width="11" customWidth="1" style="410" min="85" max="85"/>
    <col width="11" customWidth="1" style="410" min="86" max="86"/>
    <col width="11" customWidth="1" style="410" min="87" max="87"/>
    <col width="11" customWidth="1" style="410" min="88" max="88"/>
    <col width="11" customWidth="1" style="410" min="89" max="89"/>
    <col width="11" customWidth="1" style="410" min="90" max="90"/>
    <col width="11" customWidth="1" style="410" min="91" max="91"/>
    <col width="11" customWidth="1" style="410" min="92" max="92"/>
    <col width="11" customWidth="1" style="410" min="93" max="93"/>
    <col width="11" customWidth="1" style="410" min="94" max="94"/>
    <col width="11" customWidth="1" style="410" min="95" max="95"/>
    <col width="11" customWidth="1" style="410" min="96" max="96"/>
    <col width="11" customWidth="1" style="410" min="97" max="97"/>
    <col width="11" customWidth="1" style="410" min="98" max="98"/>
    <col width="11" customWidth="1" style="410" min="99" max="99"/>
    <col width="11" customWidth="1" style="410" min="100" max="100"/>
    <col width="11" customWidth="1" style="410" min="101" max="101"/>
    <col width="11" customWidth="1" style="410" min="102" max="102"/>
    <col width="11" customWidth="1" style="410" min="103" max="103"/>
    <col width="11" customWidth="1" style="410" min="104" max="104"/>
    <col width="11" customWidth="1" style="410" min="105" max="105"/>
    <col width="11" customWidth="1" style="410" min="106" max="106"/>
    <col width="11" customWidth="1" style="410" min="107" max="107"/>
    <col width="11" customWidth="1" style="410" min="108" max="108"/>
    <col width="11" customWidth="1" style="410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2026-09-10T19:29:51Z</dcterms:modified>
  <cp:lastModifiedBy>Chris Andresen</cp:lastModifiedBy>
  <cp:revision>17</cp:revision>
</cp:coreProperties>
</file>